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localiza-my.sharepoint.com/personal/joao_luz_sofit4_com_br/Documents/Excel/TCO/"/>
    </mc:Choice>
  </mc:AlternateContent>
  <xr:revisionPtr revIDLastSave="3094" documentId="11_AD4D361C20488DEA4E38A0C27CD875865BDEDD88" xr6:coauthVersionLast="47" xr6:coauthVersionMax="47" xr10:uidLastSave="{E910C464-BFEF-4370-B12A-F7D23714DEFE}"/>
  <bookViews>
    <workbookView xWindow="-135" yWindow="-135" windowWidth="19470" windowHeight="10350" xr2:uid="{00000000-000D-0000-FFFF-FFFF00000000}"/>
  </bookViews>
  <sheets>
    <sheet name="TCO Estimado" sheetId="8" r:id="rId1"/>
    <sheet name="TCO Estimado por Veículo" sheetId="2" state="hidden" r:id="rId2"/>
    <sheet name="Dados" sheetId="3" state="hidden" r:id="rId3"/>
  </sheets>
  <definedNames>
    <definedName name="_xlnm._FilterDatabase" localSheetId="0" hidden="1">'TCO Estimado'!$C$14:$C$15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C21" i="8"/>
  <c r="M9" i="2"/>
  <c r="M8" i="2"/>
  <c r="M7" i="2"/>
  <c r="L9" i="2"/>
  <c r="L8" i="2"/>
  <c r="L7" i="2"/>
  <c r="O9" i="2"/>
  <c r="O8" i="2"/>
  <c r="O7" i="2"/>
  <c r="N9" i="2"/>
  <c r="N8" i="2"/>
  <c r="N7" i="2"/>
  <c r="J9" i="2"/>
  <c r="J8" i="2"/>
  <c r="J7" i="2"/>
  <c r="I9" i="2"/>
  <c r="I8" i="2"/>
  <c r="I7" i="2"/>
  <c r="F9" i="2"/>
  <c r="F8" i="2"/>
  <c r="F7" i="2"/>
  <c r="E9" i="2"/>
  <c r="E8" i="2"/>
  <c r="E7" i="2"/>
  <c r="D9" i="2"/>
  <c r="D8" i="2"/>
  <c r="D7" i="2"/>
  <c r="C9" i="2"/>
  <c r="C8" i="2"/>
  <c r="B9" i="2"/>
  <c r="B8" i="2"/>
  <c r="B7" i="2"/>
  <c r="K9" i="2"/>
  <c r="K8" i="2"/>
  <c r="K7" i="2"/>
  <c r="H9" i="2"/>
  <c r="H8" i="2"/>
  <c r="H7" i="2"/>
  <c r="G9" i="2"/>
  <c r="Q9" i="2" s="1"/>
  <c r="G8" i="2"/>
  <c r="R8" i="2" s="1"/>
  <c r="G7" i="2"/>
  <c r="R7" i="2" s="1"/>
  <c r="C30" i="8"/>
  <c r="C24" i="8"/>
  <c r="C29" i="8"/>
  <c r="L2" i="2"/>
  <c r="G4" i="2"/>
  <c r="G3" i="2"/>
  <c r="K4" i="2"/>
  <c r="K3" i="2"/>
  <c r="H4" i="2"/>
  <c r="H3" i="2"/>
  <c r="H2" i="2"/>
  <c r="M4" i="2"/>
  <c r="L4" i="2"/>
  <c r="J4" i="2"/>
  <c r="I4" i="2"/>
  <c r="F4" i="2"/>
  <c r="E4" i="2"/>
  <c r="C4" i="2"/>
  <c r="B4" i="2"/>
  <c r="D4" i="2"/>
  <c r="B3" i="2"/>
  <c r="B2" i="2"/>
  <c r="M3" i="2"/>
  <c r="L3" i="2"/>
  <c r="J3" i="2"/>
  <c r="M2" i="2"/>
  <c r="K2" i="2"/>
  <c r="I3" i="2"/>
  <c r="G2" i="2"/>
  <c r="F2" i="2"/>
  <c r="F3" i="2"/>
  <c r="E2" i="2"/>
  <c r="E3" i="2"/>
  <c r="D3" i="2"/>
  <c r="D2" i="2"/>
  <c r="C3" i="2"/>
  <c r="C2" i="2"/>
  <c r="J2" i="2"/>
  <c r="I2" i="2"/>
  <c r="T25" i="3"/>
  <c r="T26" i="3"/>
  <c r="T27" i="3"/>
  <c r="T28" i="3"/>
  <c r="T24" i="3"/>
  <c r="T17" i="3"/>
  <c r="T15" i="3"/>
  <c r="T20" i="3" s="1"/>
  <c r="T16" i="3"/>
  <c r="T14" i="3"/>
  <c r="T6" i="3"/>
  <c r="T7" i="3"/>
  <c r="T19" i="3"/>
  <c r="T8" i="3"/>
  <c r="T18" i="3"/>
  <c r="T9" i="3"/>
  <c r="T5" i="3"/>
  <c r="D47" i="3"/>
  <c r="G5" i="3" s="1"/>
  <c r="C47" i="3"/>
  <c r="G4" i="3" s="1"/>
  <c r="Q2" i="2" l="1"/>
  <c r="P8" i="2"/>
  <c r="S8" i="2"/>
  <c r="S7" i="2"/>
  <c r="Q7" i="2"/>
  <c r="R9" i="2"/>
  <c r="S9" i="2"/>
  <c r="P7" i="2"/>
  <c r="Q8" i="2"/>
  <c r="P9" i="2"/>
  <c r="N2" i="2"/>
  <c r="N3" i="2"/>
  <c r="N4" i="2"/>
  <c r="T10" i="3"/>
  <c r="P3" i="2" s="1"/>
  <c r="P2" i="2"/>
  <c r="O4" i="2"/>
  <c r="O2" i="2"/>
  <c r="O3" i="2"/>
  <c r="Q3" i="2"/>
  <c r="Q4" i="2"/>
  <c r="P4" i="2"/>
  <c r="T29" i="3"/>
  <c r="B47" i="3"/>
  <c r="G3" i="3" s="1"/>
  <c r="T8" i="2" l="1"/>
  <c r="U8" i="2" s="1"/>
  <c r="R4" i="2"/>
  <c r="S4" i="2" s="1"/>
  <c r="R3" i="2"/>
  <c r="S3" i="2" s="1"/>
  <c r="T9" i="2"/>
  <c r="U9" i="2" s="1"/>
  <c r="T7" i="2"/>
  <c r="U7" i="2" s="1"/>
  <c r="R2" i="2"/>
  <c r="S2" i="2" s="1"/>
  <c r="D36" i="8" l="1"/>
</calcChain>
</file>

<file path=xl/sharedStrings.xml><?xml version="1.0" encoding="utf-8"?>
<sst xmlns="http://schemas.openxmlformats.org/spreadsheetml/2006/main" count="118" uniqueCount="92">
  <si>
    <t>Veículo</t>
  </si>
  <si>
    <t>Custo de aquisição</t>
  </si>
  <si>
    <t>Seguro anual</t>
  </si>
  <si>
    <t>Valor residual estimado</t>
  </si>
  <si>
    <t>Tipo de Combustivel</t>
  </si>
  <si>
    <t>Quantidade</t>
  </si>
  <si>
    <t>Consumo (km/L)</t>
  </si>
  <si>
    <t>Diesel</t>
  </si>
  <si>
    <t>Gasolina Comum</t>
  </si>
  <si>
    <t>Etanol</t>
  </si>
  <si>
    <t>Média Nacional Combustivel Últimos 12 meses</t>
  </si>
  <si>
    <t>Média</t>
  </si>
  <si>
    <t>Estado</t>
  </si>
  <si>
    <t>Alíquota</t>
  </si>
  <si>
    <t>Acre</t>
  </si>
  <si>
    <t>Alagoas</t>
  </si>
  <si>
    <t>Amazonas</t>
  </si>
  <si>
    <t>Amapá</t>
  </si>
  <si>
    <t>Bahia</t>
  </si>
  <si>
    <t>Ceará</t>
  </si>
  <si>
    <t>Distrito Federal</t>
  </si>
  <si>
    <t>Espírito Santo</t>
  </si>
  <si>
    <t>Goiás</t>
  </si>
  <si>
    <t>Maranhão</t>
  </si>
  <si>
    <t>Minas Gerais</t>
  </si>
  <si>
    <t>Mato Grosso</t>
  </si>
  <si>
    <t>Mato Grosso do Sul</t>
  </si>
  <si>
    <t>Pará</t>
  </si>
  <si>
    <t>Paraíba</t>
  </si>
  <si>
    <t>Paraná</t>
  </si>
  <si>
    <t>Pernambuco</t>
  </si>
  <si>
    <t>Piauí</t>
  </si>
  <si>
    <t>Rio de Janeiro</t>
  </si>
  <si>
    <t>Rio Grande do Norte</t>
  </si>
  <si>
    <t>Rio Grande do Sul</t>
  </si>
  <si>
    <t>Rondônia</t>
  </si>
  <si>
    <t>Roraima</t>
  </si>
  <si>
    <t>Santa Catarina</t>
  </si>
  <si>
    <t>Sergipe</t>
  </si>
  <si>
    <t>São Paulo</t>
  </si>
  <si>
    <t>Tocantins</t>
  </si>
  <si>
    <t>Aliquota IPVA 2023</t>
  </si>
  <si>
    <t>UF de Licenciamento</t>
  </si>
  <si>
    <t>IPVA</t>
  </si>
  <si>
    <t>Volkswagen Gol 1.0</t>
  </si>
  <si>
    <t>Hyundai HB20 Sense 1.0</t>
  </si>
  <si>
    <t>Volkswagen T-Cross 1.0</t>
  </si>
  <si>
    <t>Jeep Compass Limited 2.0</t>
  </si>
  <si>
    <t>Fiat Cronos Sedan 1.3</t>
  </si>
  <si>
    <t>Hyundai Creta Action 1.6</t>
  </si>
  <si>
    <t>Chevrolet Tracker 1.0</t>
  </si>
  <si>
    <t>Ranault Kwid Intense 1.0</t>
  </si>
  <si>
    <t>Fiat Pulse Audade 1.0</t>
  </si>
  <si>
    <t>Fiat Mobi Easy 1.0</t>
  </si>
  <si>
    <t>Custo de Desmobilização</t>
  </si>
  <si>
    <t>Custo Anual</t>
  </si>
  <si>
    <t>Estimativa Seguro Até 100k</t>
  </si>
  <si>
    <t>Estimativa Seguro Até 200k</t>
  </si>
  <si>
    <t>Estimativa Seguro Até 300k</t>
  </si>
  <si>
    <t>Audi Q3 Prestige</t>
  </si>
  <si>
    <t>MINI Cooper S</t>
  </si>
  <si>
    <t>Audi A3 2.0 Sedan S Line</t>
  </si>
  <si>
    <t>Honda Civic Híbrido</t>
  </si>
  <si>
    <t>Selecione a UF de licenciamento</t>
  </si>
  <si>
    <t>TCO no período informado</t>
  </si>
  <si>
    <t>Alugada</t>
  </si>
  <si>
    <t>Própria</t>
  </si>
  <si>
    <t>Tempo (Meses)</t>
  </si>
  <si>
    <t>km total</t>
  </si>
  <si>
    <t>Manutenção</t>
  </si>
  <si>
    <t>Custo de combustível</t>
  </si>
  <si>
    <t>Custo Mensal Locação</t>
  </si>
  <si>
    <t>TCO</t>
  </si>
  <si>
    <t>Frota Própria ou Alugada?</t>
  </si>
  <si>
    <t>Quantidade de Veículos</t>
  </si>
  <si>
    <t>Por quantos meses os veículos rodarão?</t>
  </si>
  <si>
    <t>D</t>
  </si>
  <si>
    <t>F</t>
  </si>
  <si>
    <t>H</t>
  </si>
  <si>
    <t>Modelo 1</t>
  </si>
  <si>
    <t>Modelo 2</t>
  </si>
  <si>
    <t>Modelo 3</t>
  </si>
  <si>
    <t>Modelo de Veículo (Opcional)</t>
  </si>
  <si>
    <t>Selecione o tipo de combustível</t>
  </si>
  <si>
    <t>Qual o consumo do veículo com o combustível informado? (km/L)</t>
  </si>
  <si>
    <t>custos anuais da frota</t>
  </si>
  <si>
    <t>Custos com multas (anual)</t>
  </si>
  <si>
    <t>Custos de Operação (anual)</t>
  </si>
  <si>
    <t xml:space="preserve"> </t>
  </si>
  <si>
    <t>Qual o custo anual com multas?</t>
  </si>
  <si>
    <t>Qual o custo anual de operação da frota? (ex.: pedágio, estacionamento, etc.)</t>
  </si>
  <si>
    <t>Outros custos anuais da frota (ex.: administrativos, pessoal, estrutura da área, softwares,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</si>
</sst>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0.0%"/>
    <numFmt numFmtId="165" formatCode="mmmm\,\ 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Segoe UI"/>
      <family val="2"/>
    </font>
    <font>
      <sz val="11"/>
      <color theme="1"/>
      <name val="Abadi Extra Light"/>
      <family val="2"/>
    </font>
    <font>
      <b/>
      <sz val="11"/>
      <color theme="1"/>
      <name val="Abadi Extra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DDE2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44" fontId="0" fillId="0" borderId="0" xfId="1" applyFont="1"/>
    <xf numFmtId="14" fontId="2" fillId="0" borderId="0" xfId="0" applyNumberFormat="1" applyFont="1" applyAlignment="1">
      <alignment vertical="center"/>
    </xf>
    <xf numFmtId="8" fontId="0" fillId="0" borderId="0" xfId="0" applyNumberFormat="1"/>
    <xf numFmtId="44" fontId="0" fillId="0" borderId="0" xfId="0" applyNumberFormat="1"/>
    <xf numFmtId="164" fontId="0" fillId="0" borderId="0" xfId="2" applyNumberFormat="1" applyFont="1"/>
    <xf numFmtId="10" fontId="0" fillId="0" borderId="0" xfId="2" applyNumberFormat="1" applyFont="1"/>
    <xf numFmtId="44" fontId="0" fillId="2" borderId="0" xfId="1" applyFont="1" applyFill="1"/>
    <xf numFmtId="44" fontId="0" fillId="2" borderId="0" xfId="0" applyNumberFormat="1" applyFill="1"/>
    <xf numFmtId="44" fontId="0" fillId="3" borderId="0" xfId="1" applyFont="1" applyFill="1"/>
    <xf numFmtId="0" fontId="0" fillId="3" borderId="0" xfId="0" applyFill="1"/>
    <xf numFmtId="14" fontId="0" fillId="0" borderId="0" xfId="0" applyNumberFormat="1"/>
    <xf numFmtId="165" fontId="0" fillId="0" borderId="0" xfId="0" applyNumberFormat="1"/>
    <xf numFmtId="44" fontId="0" fillId="0" borderId="0" xfId="1" applyFont="1" applyAlignment="1"/>
    <xf numFmtId="10" fontId="0" fillId="0" borderId="0" xfId="0" applyNumberFormat="1"/>
    <xf numFmtId="44" fontId="3" fillId="4" borderId="0" xfId="1" applyFont="1" applyFill="1" applyBorder="1" applyAlignment="1" applyProtection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9" xfId="0" applyFont="1" applyBorder="1"/>
    <xf numFmtId="0" fontId="3" fillId="0" borderId="9" xfId="0" applyFont="1" applyBorder="1" applyAlignment="1">
      <alignment vertical="center"/>
    </xf>
    <xf numFmtId="0" fontId="3" fillId="0" borderId="2" xfId="0" applyFont="1" applyBorder="1"/>
    <xf numFmtId="0" fontId="3" fillId="0" borderId="3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4" xfId="0" applyFont="1" applyBorder="1"/>
    <xf numFmtId="0" fontId="4" fillId="0" borderId="1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44" fontId="3" fillId="0" borderId="0" xfId="1" applyFont="1" applyBorder="1" applyAlignment="1" applyProtection="1">
      <alignment horizontal="center" vertical="center"/>
    </xf>
    <xf numFmtId="0" fontId="4" fillId="0" borderId="1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" fontId="3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7" xfId="0" applyFont="1" applyBorder="1"/>
    <xf numFmtId="44" fontId="4" fillId="0" borderId="8" xfId="0" applyNumberFormat="1" applyFont="1" applyBorder="1" applyAlignment="1">
      <alignment horizontal="center" vertical="center"/>
    </xf>
    <xf numFmtId="0" fontId="3" fillId="0" borderId="5" xfId="0" applyFont="1" applyBorder="1"/>
    <xf numFmtId="0" fontId="3" fillId="0" borderId="10" xfId="0" applyFont="1" applyBorder="1"/>
    <xf numFmtId="0" fontId="3" fillId="0" borderId="6" xfId="0" applyFont="1" applyBorder="1"/>
    <xf numFmtId="44" fontId="3" fillId="0" borderId="0" xfId="0" applyNumberFormat="1" applyFont="1"/>
    <xf numFmtId="0" fontId="4" fillId="0" borderId="0" xfId="0" applyFont="1"/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3" fontId="3" fillId="5" borderId="18" xfId="0" applyNumberFormat="1" applyFont="1" applyFill="1" applyBorder="1" applyAlignment="1" applyProtection="1">
      <alignment horizontal="center" vertical="center"/>
      <protection locked="0"/>
    </xf>
    <xf numFmtId="44" fontId="3" fillId="5" borderId="14" xfId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3" fontId="3" fillId="5" borderId="19" xfId="0" applyNumberFormat="1" applyFont="1" applyFill="1" applyBorder="1" applyAlignment="1" applyProtection="1">
      <alignment horizontal="center" vertical="center"/>
      <protection locked="0"/>
    </xf>
    <xf numFmtId="44" fontId="3" fillId="5" borderId="16" xfId="1" applyFont="1" applyFill="1" applyBorder="1" applyAlignment="1" applyProtection="1">
      <alignment horizontal="center" vertical="center"/>
      <protection locked="0"/>
    </xf>
    <xf numFmtId="3" fontId="3" fillId="5" borderId="15" xfId="0" applyNumberFormat="1" applyFont="1" applyFill="1" applyBorder="1" applyAlignment="1" applyProtection="1">
      <alignment horizontal="center" vertical="center"/>
      <protection locked="0"/>
    </xf>
    <xf numFmtId="3" fontId="3" fillId="5" borderId="16" xfId="0" applyNumberFormat="1" applyFont="1" applyFill="1" applyBorder="1" applyAlignment="1" applyProtection="1">
      <alignment horizontal="center" vertical="center"/>
      <protection locked="0"/>
    </xf>
    <xf numFmtId="3" fontId="3" fillId="5" borderId="12" xfId="0" applyNumberFormat="1" applyFont="1" applyFill="1" applyBorder="1" applyAlignment="1" applyProtection="1">
      <alignment horizontal="center" vertical="center"/>
      <protection locked="0"/>
    </xf>
    <xf numFmtId="3" fontId="3" fillId="5" borderId="14" xfId="0" applyNumberFormat="1" applyFont="1" applyFill="1" applyBorder="1" applyAlignment="1" applyProtection="1">
      <alignment horizontal="center" vertical="center"/>
      <protection locked="0"/>
    </xf>
    <xf numFmtId="4" fontId="3" fillId="5" borderId="14" xfId="0" applyNumberFormat="1" applyFont="1" applyFill="1" applyBorder="1" applyAlignment="1" applyProtection="1">
      <alignment horizontal="center" vertical="center"/>
      <protection locked="0"/>
    </xf>
    <xf numFmtId="4" fontId="3" fillId="5" borderId="16" xfId="0" applyNumberFormat="1" applyFont="1" applyFill="1" applyBorder="1" applyAlignment="1" applyProtection="1">
      <alignment horizontal="center" vertical="center"/>
      <protection locked="0"/>
    </xf>
    <xf numFmtId="44" fontId="3" fillId="5" borderId="15" xfId="1" applyFont="1" applyFill="1" applyBorder="1" applyAlignment="1" applyProtection="1">
      <alignment vertical="center"/>
      <protection locked="0"/>
    </xf>
    <xf numFmtId="44" fontId="3" fillId="5" borderId="12" xfId="1" applyFont="1" applyFill="1" applyBorder="1" applyAlignment="1" applyProtection="1">
      <alignment vertical="center"/>
      <protection locked="0"/>
    </xf>
    <xf numFmtId="44" fontId="3" fillId="5" borderId="12" xfId="1" applyFont="1" applyFill="1" applyBorder="1" applyAlignment="1" applyProtection="1">
      <alignment horizontal="center" vertical="center"/>
      <protection locked="0"/>
    </xf>
    <xf numFmtId="44" fontId="3" fillId="5" borderId="18" xfId="1" applyFont="1" applyFill="1" applyBorder="1" applyAlignment="1" applyProtection="1">
      <alignment horizontal="center" vertical="center"/>
      <protection locked="0"/>
    </xf>
    <xf numFmtId="44" fontId="3" fillId="5" borderId="15" xfId="1" applyFont="1" applyFill="1" applyBorder="1" applyAlignment="1" applyProtection="1">
      <alignment horizontal="center" vertical="center"/>
      <protection locked="0"/>
    </xf>
    <xf numFmtId="44" fontId="3" fillId="5" borderId="19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</cellXfs>
  <cellStyles count="3">
    <cellStyle name="Moeda" xfId="1" builtinId="4"/>
    <cellStyle name="Normal" xfId="0" builtinId="0"/>
    <cellStyle name="Porcentagem" xfId="2" builtinId="5"/>
  </cellStyles>
  <dxfs count="18">
    <dxf>
      <numFmt numFmtId="34" formatCode="_-&quot;R$&quot;\ * #,##0.00_-;\-&quot;R$&quot;\ * #,##0.00_-;_-&quot;R$&quot;\ * &quot;-&quot;??_-;_-@_-"/>
      <fill>
        <patternFill patternType="solid">
          <fgColor indexed="64"/>
          <bgColor theme="9" tint="0.79998168889431442"/>
        </patternFill>
      </fill>
    </dxf>
    <dxf>
      <numFmt numFmtId="34" formatCode="_-&quot;R$&quot;\ * #,##0.00_-;\-&quot;R$&quot;\ * #,##0.00_-;_-&quot;R$&quot;\ * &quot;-&quot;??_-;_-@_-"/>
      <fill>
        <patternFill patternType="solid">
          <fgColor indexed="64"/>
          <bgColor theme="9" tint="0.79998168889431442"/>
        </patternFill>
      </fill>
    </dxf>
    <dxf>
      <numFmt numFmtId="34" formatCode="_-&quot;R$&quot;\ * #,##0.00_-;\-&quot;R$&quot;\ * #,##0.00_-;_-&quot;R$&quot;\ * &quot;-&quot;??_-;_-@_-"/>
      <fill>
        <patternFill patternType="solid">
          <fgColor indexed="64"/>
          <bgColor theme="9" tint="0.79998168889431442"/>
        </patternFill>
      </fill>
    </dxf>
    <dxf>
      <numFmt numFmtId="34" formatCode="_-&quot;R$&quot;\ * #,##0.00_-;\-&quot;R$&quot;\ * #,##0.00_-;_-&quot;R$&quot;\ * &quot;-&quot;??_-;_-@_-"/>
      <fill>
        <patternFill patternType="solid">
          <fgColor indexed="64"/>
          <bgColor theme="9" tint="0.79998168889431442"/>
        </patternFill>
      </fill>
    </dxf>
    <dxf>
      <numFmt numFmtId="34" formatCode="_-&quot;R$&quot;\ * #,##0.00_-;\-&quot;R$&quot;\ * #,##0.00_-;_-&quot;R$&quot;\ * &quot;-&quot;??_-;_-@_-"/>
      <fill>
        <patternFill patternType="solid">
          <fgColor indexed="64"/>
          <bgColor theme="9" tint="0.79998168889431442"/>
        </patternFill>
      </fill>
    </dxf>
    <dxf>
      <numFmt numFmtId="34" formatCode="_-&quot;R$&quot;\ * #,##0.00_-;\-&quot;R$&quot;\ * #,##0.00_-;_-&quot;R$&quot;\ * &quot;-&quot;??_-;_-@_-"/>
      <fill>
        <patternFill patternType="solid">
          <fgColor indexed="64"/>
          <bgColor theme="9" tint="0.79998168889431442"/>
        </patternFill>
      </fill>
    </dxf>
    <dxf>
      <numFmt numFmtId="34" formatCode="_-&quot;R$&quot;\ * #,##0.00_-;\-&quot;R$&quot;\ * #,##0.00_-;_-&quot;R$&quot;\ * &quot;-&quot;??_-;_-@_-"/>
    </dxf>
    <dxf>
      <numFmt numFmtId="34" formatCode="_-&quot;R$&quot;\ * #,##0.00_-;\-&quot;R$&quot;\ * #,##0.00_-;_-&quot;R$&quot;\ * &quot;-&quot;??_-;_-@_-"/>
    </dxf>
    <dxf>
      <numFmt numFmtId="34" formatCode="_-&quot;R$&quot;\ * #,##0.00_-;\-&quot;R$&quot;\ * #,##0.00_-;_-&quot;R$&quot;\ * &quot;-&quot;??_-;_-@_-"/>
    </dxf>
    <dxf>
      <numFmt numFmtId="0" formatCode="General"/>
    </dxf>
    <dxf>
      <numFmt numFmtId="0" formatCode="General"/>
    </dxf>
    <dxf>
      <numFmt numFmtId="34" formatCode="_-&quot;R$&quot;\ * #,##0.00_-;\-&quot;R$&quot;\ * #,##0.00_-;_-&quot;R$&quot;\ 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8" tint="0.79998168889431442"/>
        </patternFill>
      </fill>
    </dxf>
  </dxfs>
  <tableStyles count="1" defaultTableStyle="TableStyleMedium2" defaultPivotStyle="PivotStyleLight16">
    <tableStyle name="Estilo de Tabela 1" pivot="0" count="1" xr9:uid="{EDBFB21D-D60A-4A97-A928-B456F01CC6C4}">
      <tableStyleElement type="firstRowStripe" dxfId="17"/>
    </tableStyle>
  </tableStyles>
  <colors>
    <mruColors>
      <color rgb="FF7DDE20"/>
      <color rgb="FFF4E8CB"/>
      <color rgb="FFFF3753"/>
      <color rgb="FF75D996"/>
      <color rgb="FF00A859"/>
      <color rgb="FFCCFFCC"/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5863</xdr:rowOff>
    </xdr:from>
    <xdr:to>
      <xdr:col>7</xdr:col>
      <xdr:colOff>130712</xdr:colOff>
      <xdr:row>7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C6D32D77-B1C9-4180-94DF-E2684043B88D}"/>
            </a:ext>
          </a:extLst>
        </xdr:cNvPr>
        <xdr:cNvSpPr txBox="1"/>
      </xdr:nvSpPr>
      <xdr:spPr>
        <a:xfrm>
          <a:off x="0" y="5863"/>
          <a:ext cx="6179820" cy="12309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endParaRPr lang="pt-BR" sz="1200" b="1">
            <a:latin typeface="Abadi" panose="020F0502020204030204" pitchFamily="34" charset="0"/>
          </a:endParaRPr>
        </a:p>
        <a:p>
          <a:endParaRPr lang="pt-BR" sz="1200" b="1">
            <a:latin typeface="Abadi" panose="020F0502020204030204" pitchFamily="34" charset="0"/>
          </a:endParaRPr>
        </a:p>
        <a:p>
          <a:r>
            <a:rPr lang="pt-BR" sz="1200" b="1">
              <a:latin typeface="Abadi" panose="020F0502020204030204" pitchFamily="34" charset="0"/>
            </a:rPr>
            <a:t>TCO (Custo Total de Propriedade) </a:t>
          </a:r>
        </a:p>
        <a:p>
          <a:r>
            <a:rPr lang="pt-BR" sz="1200">
              <a:latin typeface="Abadi" panose="020F0502020204030204" pitchFamily="34" charset="0"/>
            </a:rPr>
            <a:t>É uma métrica que calcula todos os custos associados à aquisição, operação, manutenção e substituição de um produto ou sistema ao longo de seu ciclo de vida. É usado para análises abrangentes de custos e decisões de investimento.</a:t>
          </a:r>
        </a:p>
      </xdr:txBody>
    </xdr:sp>
    <xdr:clientData/>
  </xdr:twoCellAnchor>
  <xdr:twoCellAnchor>
    <xdr:from>
      <xdr:col>0</xdr:col>
      <xdr:colOff>0</xdr:colOff>
      <xdr:row>8</xdr:row>
      <xdr:rowOff>14654</xdr:rowOff>
    </xdr:from>
    <xdr:to>
      <xdr:col>7</xdr:col>
      <xdr:colOff>130712</xdr:colOff>
      <xdr:row>11</xdr:row>
      <xdr:rowOff>132471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F195942-61FD-4822-93DE-383DBD1D3289}"/>
            </a:ext>
          </a:extLst>
        </xdr:cNvPr>
        <xdr:cNvSpPr txBox="1"/>
      </xdr:nvSpPr>
      <xdr:spPr>
        <a:xfrm>
          <a:off x="0" y="1104900"/>
          <a:ext cx="6179820" cy="662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1200">
              <a:latin typeface="Abadi" panose="020B0604020104020204" pitchFamily="34" charset="0"/>
            </a:rPr>
            <a:t>A planilha 'TCO Estimado' busca uma aproximação do TCO com base em dados históricos de 2022 a 2023.</a:t>
          </a:r>
        </a:p>
      </xdr:txBody>
    </xdr:sp>
    <xdr:clientData/>
  </xdr:twoCellAnchor>
  <xdr:twoCellAnchor editAs="oneCell">
    <xdr:from>
      <xdr:col>0</xdr:col>
      <xdr:colOff>99647</xdr:colOff>
      <xdr:row>0</xdr:row>
      <xdr:rowOff>29307</xdr:rowOff>
    </xdr:from>
    <xdr:to>
      <xdr:col>2</xdr:col>
      <xdr:colOff>625427</xdr:colOff>
      <xdr:row>2</xdr:row>
      <xdr:rowOff>135424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F86DF14-BF39-472B-8F87-F58F3217C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47" y="29307"/>
          <a:ext cx="797169" cy="467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580292</xdr:colOff>
      <xdr:row>2</xdr:row>
      <xdr:rowOff>136099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45B623-D5FA-4404-92CA-6A2BF906F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89892" cy="501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24</xdr:col>
      <xdr:colOff>487680</xdr:colOff>
      <xdr:row>4</xdr:row>
      <xdr:rowOff>160020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40D0BEFF-6901-28F2-D591-BEC0DA6ADE6C}"/>
            </a:ext>
          </a:extLst>
        </xdr:cNvPr>
        <xdr:cNvSpPr/>
      </xdr:nvSpPr>
      <xdr:spPr>
        <a:xfrm>
          <a:off x="0" y="0"/>
          <a:ext cx="1706880" cy="89154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A35ED2-2D3E-450E-B28D-E60A23CAA5EF}" name="Tabela2" displayName="Tabela2" ref="B1:S4" totalsRowShown="0">
  <autoFilter ref="B1:S4" xr:uid="{41A35ED2-2D3E-450E-B28D-E60A23CAA5EF}"/>
  <tableColumns count="18">
    <tableColumn id="1" xr3:uid="{788C396E-DBFF-46BB-8CD0-A0D0DD3D36BF}" name="Veículo" dataDxfId="16">
      <calculatedColumnFormula>'TCO Estimado'!D19</calculatedColumnFormula>
    </tableColumn>
    <tableColumn id="13" xr3:uid="{F6F7DD9D-99E4-4854-AE19-06310A8150BF}" name="Tempo (Meses)" dataDxfId="15">
      <calculatedColumnFormula>'TCO Estimado'!$D$23</calculatedColumnFormula>
    </tableColumn>
    <tableColumn id="17" xr3:uid="{1C30F9A6-D670-4E43-91C4-76F908CB5BAA}" name="UF de Licenciamento" dataDxfId="14">
      <calculatedColumnFormula>'TCO Estimado'!$D$14</calculatedColumnFormula>
    </tableColumn>
    <tableColumn id="16" xr3:uid="{BB409FB1-5314-4641-8F8B-056AA7C47ECF}" name="Quantidade" dataDxfId="13">
      <calculatedColumnFormula>'TCO Estimado'!$F$20</calculatedColumnFormula>
    </tableColumn>
    <tableColumn id="15" xr3:uid="{DAF6D618-327D-4849-AC81-9E8FB01E8740}" name="Tipo de Combustivel" dataDxfId="12">
      <calculatedColumnFormula>'TCO Estimado'!$D$26</calculatedColumnFormula>
    </tableColumn>
    <tableColumn id="2" xr3:uid="{CB66851C-E77F-4796-B26F-495693466FDD}" name="Custo de aquisição" dataDxfId="11" dataCellStyle="Moeda">
      <calculatedColumnFormula>IF('TCO Estimado'!$D$15 = "Própria", 'TCO Estimado'!$D$21, 0)</calculatedColumnFormula>
    </tableColumn>
    <tableColumn id="14" xr3:uid="{7D412992-D787-4EF3-BD22-8F1C91830434}" name="Custo Mensal Locação" dataCellStyle="Moeda">
      <calculatedColumnFormula>IF('TCO Estimado'!$D$15 = "Alugada", 'TCO Estimado'!$D$21, 0)</calculatedColumnFormula>
    </tableColumn>
    <tableColumn id="3" xr3:uid="{B5598010-4EE1-48D7-8941-7996B8A3EDEC}" name="km total" dataDxfId="10">
      <calculatedColumnFormula>'TCO Estimado'!$D$24</calculatedColumnFormula>
    </tableColumn>
    <tableColumn id="4" xr3:uid="{0C6FA062-938F-4F8F-A05C-CC6B72BC68CD}" name="Consumo (km/L)" dataDxfId="9">
      <calculatedColumnFormula>'TCO Estimado'!$D$27</calculatedColumnFormula>
    </tableColumn>
    <tableColumn id="10" xr3:uid="{C4D9FD5C-00E7-4771-BB8F-0901AC3EA2C3}" name="Valor residual estimado" dataDxfId="8" dataCellStyle="Moeda">
      <calculatedColumnFormula>IF('TCO Estimado'!D15 = "Própria",'TCO Estimado'!D29, 0)</calculatedColumnFormula>
    </tableColumn>
    <tableColumn id="11" xr3:uid="{76AB6205-93BA-47C2-95A9-1CA17865A8BB}" name="custos anuais da frota" dataDxfId="7" dataCellStyle="Moeda">
      <calculatedColumnFormula>'TCO Estimado'!$D$34</calculatedColumnFormula>
    </tableColumn>
    <tableColumn id="12" xr3:uid="{03F89E91-677A-43F0-ABB3-5BF9ABEBF36C}" name="Custo de Desmobilização" dataDxfId="6" dataCellStyle="Moeda">
      <calculatedColumnFormula>'TCO Estimado'!D30</calculatedColumnFormula>
    </tableColumn>
    <tableColumn id="6" xr3:uid="{133BE83C-F99F-45E1-8A08-73E8B1433BEF}" name="Custo de combustível" dataDxfId="5" dataCellStyle="Moeda">
      <calculatedColumnFormula>IFERROR(Tabela2[[#This Row],[km total]]/Tabela2[[#This Row],[Consumo (km/L)]]*VLOOKUP(Tabela2[[#This Row],[Tipo de Combustivel]],Dados!$F$3:$G$5,2,FALSE), "")</calculatedColumnFormula>
    </tableColumn>
    <tableColumn id="7" xr3:uid="{173F40D6-BEC9-4DF2-8F93-02CD8CFCDE6E}" name="Manutenção" dataDxfId="4">
      <calculatedColumnFormula>IF('TCO Estimado'!D15 = "Própria", Tabela2[[#This Row],[km total]]/10000*0.711%*Tabela2[[#This Row],[Custo de aquisição]], 'TCO Estimado'!$D$29)</calculatedColumnFormula>
    </tableColumn>
    <tableColumn id="8" xr3:uid="{95B2B7F9-B9E4-44D5-924F-E42D5E50E40B}" name="Seguro anual" dataDxfId="3">
      <calculatedColumnFormula>IF('TCO Estimado'!D15 = "Alugada", 0, IF(Tabela2[[#This Row],[Custo de aquisição]]&lt;=100000,Tabela2[[#This Row],[Custo de aquisição]]*Dados!$T$10,IF(Tabela2[[#This Row],[Custo de aquisição]]&lt;=200000,Tabela2[[#This Row],[Custo de aquisição]]*Dados!$T$20,Tabela2[[#This Row],[Custo de aquisição]]*Dados!$T$29)))</calculatedColumnFormula>
    </tableColumn>
    <tableColumn id="9" xr3:uid="{6DD93611-84A2-4817-92E9-D6DD82696AC6}" name="IPVA" dataDxfId="2">
      <calculatedColumnFormula>IFERROR(IF('TCO Estimado'!D15 = "Alugada", 0,Tabela2[[#This Row],[Custo de aquisição]]*VLOOKUP(Tabela2[[#This Row],[UF de Licenciamento]],Dados!J4:K30,2,FALSE)),"")</calculatedColumnFormula>
    </tableColumn>
    <tableColumn id="18" xr3:uid="{63E1C430-7580-4A26-BEE5-E624EC4D56C5}" name="Custo Anual" dataDxfId="1">
      <calculatedColumnFormula>IFERROR(-SUM(Tabela2[[#This Row],[IPVA]],Tabela2[[#This Row],[Seguro anual]],Tabela2[[#This Row],[Manutenção]],Tabela2[[#This Row],[Custo de combustível]]/Tabela2[[#This Row],[Tempo (Meses)]]*12,Tabela2[[#This Row],[Custo Mensal Locação]]*12) * Tabela2[[#This Row],[Quantidade]] + Tabela2[[#This Row],[custos anuais da frota]],0)</calculatedColumnFormula>
    </tableColumn>
    <tableColumn id="19" xr3:uid="{16F85DF7-8C01-4D08-A710-8A5C2C18E9CC}" name="TCO" dataDxfId="0">
      <calculatedColumnFormula>IF(Tabela2[[#This Row],[Custo Mensal Locação]]=0,(-(Tabela2[[#This Row],[Quantidade]]*Tabela2[[#This Row],[Custo de aquisição]])+(Tabela2[[#This Row],[Quantidade]]*Tabela2[[#This Row],[Valor residual estimado]])), 0)+(Tabela2[[#This Row],[Custo Anual]]*(Tabela2[[#This Row],[Tempo (Meses)]]/12))-(Tabela2[[#This Row],[Custo de Desmobilização]]*Tabela2[[#This Row],[Quantidade]])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B9C63-6F68-4CF7-B4F5-E26186A62E91}">
  <sheetPr codeName="Planilha1"/>
  <dimension ref="B12:I45"/>
  <sheetViews>
    <sheetView showGridLines="0" tabSelected="1" topLeftCell="A2" zoomScale="130" zoomScaleNormal="130" workbookViewId="0">
      <selection activeCell="D14" sqref="D14"/>
    </sheetView>
  </sheetViews>
  <sheetFormatPr defaultColWidth="8.88671875" defaultRowHeight="13.8" x14ac:dyDescent="0.25"/>
  <cols>
    <col min="1" max="1" width="1.5546875" style="16" customWidth="1"/>
    <col min="2" max="2" width="2.33203125" style="16" customWidth="1"/>
    <col min="3" max="3" width="38.33203125" style="16" customWidth="1"/>
    <col min="4" max="4" width="20.6640625" style="16" customWidth="1"/>
    <col min="5" max="5" width="2.33203125" style="16" customWidth="1"/>
    <col min="6" max="6" width="20.6640625" style="16" customWidth="1"/>
    <col min="7" max="7" width="2.33203125" style="16" customWidth="1"/>
    <col min="8" max="8" width="20.6640625" style="16" customWidth="1"/>
    <col min="9" max="9" width="2.33203125" style="16" customWidth="1"/>
    <col min="10" max="20" width="8.88671875" style="16"/>
    <col min="21" max="21" width="7.88671875" style="16" bestFit="1" customWidth="1"/>
    <col min="22" max="22" width="11.44140625" style="16" bestFit="1" customWidth="1"/>
    <col min="23" max="23" width="5.6640625" style="16" bestFit="1" customWidth="1"/>
    <col min="24" max="16384" width="8.88671875" style="16"/>
  </cols>
  <sheetData>
    <row r="12" spans="3:8" x14ac:dyDescent="0.25">
      <c r="H12" s="16" t="s">
        <v>88</v>
      </c>
    </row>
    <row r="13" spans="3:8" ht="14.4" thickBot="1" x14ac:dyDescent="0.3"/>
    <row r="14" spans="3:8" s="17" customFormat="1" ht="19.95" customHeight="1" x14ac:dyDescent="0.3">
      <c r="C14" s="65" t="s">
        <v>63</v>
      </c>
      <c r="D14" s="44"/>
    </row>
    <row r="15" spans="3:8" s="17" customFormat="1" ht="19.95" customHeight="1" thickBot="1" x14ac:dyDescent="0.35">
      <c r="C15" s="66" t="s">
        <v>73</v>
      </c>
      <c r="D15" s="45"/>
    </row>
    <row r="16" spans="3:8" ht="14.4" thickBot="1" x14ac:dyDescent="0.3">
      <c r="D16" s="17"/>
    </row>
    <row r="17" spans="2:9" ht="9" customHeight="1" x14ac:dyDescent="0.25">
      <c r="B17" s="18"/>
      <c r="C17" s="19"/>
      <c r="D17" s="20"/>
      <c r="E17" s="19"/>
      <c r="F17" s="19"/>
      <c r="G17" s="19"/>
      <c r="H17" s="19"/>
      <c r="I17" s="21"/>
    </row>
    <row r="18" spans="2:9" x14ac:dyDescent="0.25">
      <c r="B18" s="22"/>
      <c r="D18" s="23" t="s">
        <v>79</v>
      </c>
      <c r="E18" s="24"/>
      <c r="F18" s="23" t="s">
        <v>80</v>
      </c>
      <c r="G18" s="24"/>
      <c r="H18" s="23" t="s">
        <v>81</v>
      </c>
      <c r="I18" s="25"/>
    </row>
    <row r="19" spans="2:9" ht="19.95" customHeight="1" x14ac:dyDescent="0.25">
      <c r="B19" s="22"/>
      <c r="C19" s="26" t="s">
        <v>82</v>
      </c>
      <c r="D19" s="46"/>
      <c r="E19" s="17"/>
      <c r="F19" s="49"/>
      <c r="G19" s="17"/>
      <c r="H19" s="49"/>
      <c r="I19" s="25"/>
    </row>
    <row r="20" spans="2:9" ht="19.95" customHeight="1" x14ac:dyDescent="0.25">
      <c r="B20" s="22"/>
      <c r="C20" s="27" t="s">
        <v>74</v>
      </c>
      <c r="D20" s="47"/>
      <c r="E20" s="17"/>
      <c r="F20" s="50"/>
      <c r="G20" s="17"/>
      <c r="H20" s="50"/>
      <c r="I20" s="25"/>
    </row>
    <row r="21" spans="2:9" ht="19.95" customHeight="1" x14ac:dyDescent="0.25">
      <c r="B21" s="22"/>
      <c r="C21" s="28" t="str">
        <f>IF(D15= "Alugada", "Valor Mensal da Locação (un.)", "Valor de Aquisição (un.)")</f>
        <v>Valor de Aquisição (un.)</v>
      </c>
      <c r="D21" s="48"/>
      <c r="E21" s="17"/>
      <c r="F21" s="51"/>
      <c r="G21" s="17"/>
      <c r="H21" s="51"/>
      <c r="I21" s="25"/>
    </row>
    <row r="22" spans="2:9" x14ac:dyDescent="0.25">
      <c r="B22" s="22"/>
      <c r="C22" s="29"/>
      <c r="D22" s="30"/>
      <c r="E22" s="17"/>
      <c r="F22" s="30"/>
      <c r="G22" s="17"/>
      <c r="H22" s="30"/>
      <c r="I22" s="25"/>
    </row>
    <row r="23" spans="2:9" ht="30" customHeight="1" x14ac:dyDescent="0.25">
      <c r="B23" s="22"/>
      <c r="C23" s="26" t="s">
        <v>75</v>
      </c>
      <c r="D23" s="54"/>
      <c r="E23" s="17"/>
      <c r="F23" s="52"/>
      <c r="G23" s="17"/>
      <c r="H23" s="52"/>
      <c r="I23" s="25"/>
    </row>
    <row r="24" spans="2:9" ht="30" customHeight="1" x14ac:dyDescent="0.25">
      <c r="B24" s="22"/>
      <c r="C24" s="31" t="str">
        <f>IF(D15 = "Alugada", "Quantos km os veículos rodarão até o fim da locação?","Quantos km os veículos rodarão até a venda?")</f>
        <v>Quantos km os veículos rodarão até a venda?</v>
      </c>
      <c r="D24" s="55"/>
      <c r="E24" s="17"/>
      <c r="F24" s="53"/>
      <c r="G24" s="17"/>
      <c r="H24" s="53"/>
      <c r="I24" s="25"/>
    </row>
    <row r="25" spans="2:9" x14ac:dyDescent="0.25">
      <c r="B25" s="22"/>
      <c r="C25" s="29"/>
      <c r="D25" s="32"/>
      <c r="E25" s="17"/>
      <c r="F25" s="32"/>
      <c r="G25" s="17"/>
      <c r="H25" s="32"/>
      <c r="I25" s="25"/>
    </row>
    <row r="26" spans="2:9" ht="30" customHeight="1" x14ac:dyDescent="0.25">
      <c r="B26" s="22"/>
      <c r="C26" s="26" t="s">
        <v>83</v>
      </c>
      <c r="D26" s="46"/>
      <c r="E26" s="17"/>
      <c r="F26" s="49"/>
      <c r="G26" s="17"/>
      <c r="H26" s="49"/>
      <c r="I26" s="25"/>
    </row>
    <row r="27" spans="2:9" ht="30" customHeight="1" x14ac:dyDescent="0.25">
      <c r="B27" s="22"/>
      <c r="C27" s="31" t="s">
        <v>84</v>
      </c>
      <c r="D27" s="56"/>
      <c r="E27" s="17"/>
      <c r="F27" s="57"/>
      <c r="G27" s="17"/>
      <c r="H27" s="57"/>
      <c r="I27" s="25"/>
    </row>
    <row r="28" spans="2:9" x14ac:dyDescent="0.25">
      <c r="B28" s="22"/>
      <c r="C28" s="33"/>
      <c r="D28" s="34"/>
      <c r="E28" s="17"/>
      <c r="F28" s="34"/>
      <c r="G28" s="17"/>
      <c r="H28" s="34"/>
      <c r="I28" s="25"/>
    </row>
    <row r="29" spans="2:9" ht="42" customHeight="1" x14ac:dyDescent="0.25">
      <c r="B29" s="22"/>
      <c r="C29" s="35" t="str">
        <f>IF(D15 = "Alugada", "Custos de manutenção não incluídos na locação (Anual/un.)","Por quanto você espera vender esse veículo após o uso? (un.)")</f>
        <v>Por quanto você espera vender esse veículo após o uso? (un.)</v>
      </c>
      <c r="D29" s="59"/>
      <c r="E29" s="17"/>
      <c r="F29" s="58"/>
      <c r="G29" s="17"/>
      <c r="H29" s="58"/>
      <c r="I29" s="25"/>
    </row>
    <row r="30" spans="2:9" ht="42" customHeight="1" x14ac:dyDescent="0.25">
      <c r="B30" s="22"/>
      <c r="C30" s="31" t="str">
        <f>IF(D15 = "Alugada", "Custos de desmobilização da frota alugada","Custo da operação de venda (ex.: estadia para leilão, transporte, documentação de transferência, etc.)")</f>
        <v>Custo da operação de venda (ex.: estadia para leilão, transporte, documentação de transferência, etc.)</v>
      </c>
      <c r="D30" s="48"/>
      <c r="E30" s="17"/>
      <c r="F30" s="51"/>
      <c r="G30" s="17"/>
      <c r="H30" s="51"/>
      <c r="I30" s="25"/>
    </row>
    <row r="31" spans="2:9" x14ac:dyDescent="0.25">
      <c r="B31" s="22"/>
      <c r="C31" s="29"/>
      <c r="D31" s="32"/>
      <c r="E31" s="17"/>
      <c r="F31" s="32"/>
      <c r="G31" s="17"/>
      <c r="H31" s="32"/>
      <c r="I31" s="25"/>
    </row>
    <row r="32" spans="2:9" ht="42" customHeight="1" x14ac:dyDescent="0.25">
      <c r="B32" s="22"/>
      <c r="C32" s="35" t="s">
        <v>90</v>
      </c>
      <c r="D32" s="60"/>
      <c r="E32" s="17"/>
      <c r="F32" s="62"/>
      <c r="G32" s="17"/>
      <c r="H32" s="62"/>
      <c r="I32" s="25"/>
    </row>
    <row r="33" spans="2:9" ht="42" customHeight="1" x14ac:dyDescent="0.25">
      <c r="B33" s="22"/>
      <c r="C33" s="36" t="s">
        <v>89</v>
      </c>
      <c r="D33" s="61"/>
      <c r="E33" s="17"/>
      <c r="F33" s="63"/>
      <c r="G33" s="17"/>
      <c r="H33" s="63"/>
      <c r="I33" s="25"/>
    </row>
    <row r="34" spans="2:9" ht="42" customHeight="1" x14ac:dyDescent="0.25">
      <c r="B34" s="22"/>
      <c r="C34" s="31" t="s">
        <v>91</v>
      </c>
      <c r="D34" s="48"/>
      <c r="E34" s="17"/>
      <c r="F34" s="51"/>
      <c r="G34" s="17"/>
      <c r="H34" s="51"/>
      <c r="I34" s="25"/>
    </row>
    <row r="35" spans="2:9" ht="14.4" thickBot="1" x14ac:dyDescent="0.3">
      <c r="B35" s="22"/>
      <c r="C35" s="33"/>
      <c r="D35" s="15"/>
      <c r="E35" s="17"/>
      <c r="F35" s="15"/>
      <c r="G35" s="17"/>
      <c r="H35" s="15"/>
      <c r="I35" s="25"/>
    </row>
    <row r="36" spans="2:9" ht="14.4" thickBot="1" x14ac:dyDescent="0.3">
      <c r="B36" s="22"/>
      <c r="C36" s="37" t="s">
        <v>64</v>
      </c>
      <c r="D36" s="38">
        <f>IFERROR(SUM('TCO Estimado por Veículo'!U7:U9),"")</f>
        <v>0</v>
      </c>
      <c r="I36" s="25"/>
    </row>
    <row r="37" spans="2:9" ht="9" customHeight="1" thickBot="1" x14ac:dyDescent="0.3">
      <c r="B37" s="39"/>
      <c r="C37" s="40"/>
      <c r="D37" s="40"/>
      <c r="E37" s="40"/>
      <c r="F37" s="40"/>
      <c r="G37" s="40"/>
      <c r="H37" s="40"/>
      <c r="I37" s="41"/>
    </row>
    <row r="40" spans="2:9" x14ac:dyDescent="0.25">
      <c r="D40" s="42"/>
    </row>
    <row r="45" spans="2:9" x14ac:dyDescent="0.25">
      <c r="C45" s="43"/>
    </row>
  </sheetData>
  <sheetProtection algorithmName="SHA-512" hashValue="LaCmR38DJnZxZj00NGCKZQJ/cmrHna7GxdYhhDoXhjJZUFK713fOo1xa2TzfHOdODeZtsLmDk0cUzDv1xhQ6Jg==" saltValue="aj+FLVzpM3y6sowKcbRCzg==" spinCount="100000" sheet="1" objects="1" scenarios="1" selectLockedCells="1"/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D5ED1A9-5A9F-4235-96FC-75501105F358}">
          <x14:formula1>
            <xm:f>Dados!$F$7:$F$8</xm:f>
          </x14:formula1>
          <xm:sqref>D15</xm:sqref>
        </x14:dataValidation>
        <x14:dataValidation type="list" allowBlank="1" showInputMessage="1" showErrorMessage="1" xr:uid="{17DD37E2-0332-4E8A-96B7-8D7838B18E3D}">
          <x14:formula1>
            <xm:f>Dados!$J$4:$J$30</xm:f>
          </x14:formula1>
          <xm:sqref>D14</xm:sqref>
        </x14:dataValidation>
        <x14:dataValidation type="list" allowBlank="1" showInputMessage="1" showErrorMessage="1" xr:uid="{98283406-6528-4F5F-9BF0-82C2729109DD}">
          <x14:formula1>
            <xm:f>Dados!$F$3:$F$5</xm:f>
          </x14:formula1>
          <xm:sqref>D26 F26 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6166-8F78-4792-ADFF-FF07C5423B4E}">
  <sheetPr codeName="Planilha2"/>
  <dimension ref="A1:U9"/>
  <sheetViews>
    <sheetView showGridLines="0" topLeftCell="V1" workbookViewId="0">
      <selection activeCell="U1" sqref="A1:U1048576"/>
    </sheetView>
  </sheetViews>
  <sheetFormatPr defaultColWidth="15.6640625" defaultRowHeight="14.4" x14ac:dyDescent="0.3"/>
  <cols>
    <col min="1" max="1" width="2.33203125" hidden="1" customWidth="1"/>
    <col min="2" max="2" width="14.33203125" hidden="1" customWidth="1"/>
    <col min="3" max="3" width="16.33203125" hidden="1" customWidth="1"/>
    <col min="4" max="4" width="20.88671875" hidden="1" customWidth="1"/>
    <col min="5" max="5" width="13.109375" hidden="1" customWidth="1"/>
    <col min="6" max="6" width="20.5546875" hidden="1" customWidth="1"/>
    <col min="7" max="7" width="20.44140625" hidden="1" customWidth="1"/>
    <col min="8" max="8" width="22.109375" hidden="1" customWidth="1"/>
    <col min="9" max="9" width="10.33203125" hidden="1" customWidth="1"/>
    <col min="10" max="10" width="17.5546875" hidden="1" customWidth="1"/>
    <col min="11" max="11" width="24.5546875" hidden="1" customWidth="1"/>
    <col min="12" max="12" width="23.6640625" hidden="1" customWidth="1"/>
    <col min="13" max="13" width="25.6640625" hidden="1" customWidth="1"/>
    <col min="14" max="14" width="28.109375" hidden="1" customWidth="1"/>
    <col min="15" max="15" width="21.6640625" hidden="1" customWidth="1"/>
    <col min="16" max="16" width="18.5546875" hidden="1" customWidth="1"/>
    <col min="17" max="17" width="12.88671875" hidden="1" customWidth="1"/>
    <col min="18" max="18" width="22.6640625" hidden="1" customWidth="1"/>
    <col min="19" max="19" width="16.5546875" hidden="1" customWidth="1"/>
    <col min="20" max="21" width="15.6640625" hidden="1" customWidth="1"/>
    <col min="22" max="22" width="15.6640625" customWidth="1"/>
  </cols>
  <sheetData>
    <row r="1" spans="1:21" x14ac:dyDescent="0.3">
      <c r="B1" t="s">
        <v>0</v>
      </c>
      <c r="C1" t="s">
        <v>67</v>
      </c>
      <c r="D1" t="s">
        <v>42</v>
      </c>
      <c r="E1" t="s">
        <v>5</v>
      </c>
      <c r="F1" t="s">
        <v>4</v>
      </c>
      <c r="G1" s="1" t="s">
        <v>1</v>
      </c>
      <c r="H1" t="s">
        <v>71</v>
      </c>
      <c r="I1" t="s">
        <v>68</v>
      </c>
      <c r="J1" t="s">
        <v>6</v>
      </c>
      <c r="K1" s="1" t="s">
        <v>3</v>
      </c>
      <c r="L1" s="1" t="s">
        <v>85</v>
      </c>
      <c r="M1" s="1" t="s">
        <v>54</v>
      </c>
      <c r="N1" s="9" t="s">
        <v>70</v>
      </c>
      <c r="O1" s="10" t="s">
        <v>69</v>
      </c>
      <c r="P1" s="10" t="s">
        <v>2</v>
      </c>
      <c r="Q1" s="10" t="s">
        <v>43</v>
      </c>
      <c r="R1" s="10" t="s">
        <v>55</v>
      </c>
      <c r="S1" s="10" t="s">
        <v>72</v>
      </c>
    </row>
    <row r="2" spans="1:21" x14ac:dyDescent="0.3">
      <c r="A2" t="s">
        <v>76</v>
      </c>
      <c r="B2">
        <f>'TCO Estimado'!$D$19</f>
        <v>0</v>
      </c>
      <c r="C2">
        <f>'TCO Estimado'!$D$23</f>
        <v>0</v>
      </c>
      <c r="D2">
        <f>'TCO Estimado'!$D$14</f>
        <v>0</v>
      </c>
      <c r="E2">
        <f>'TCO Estimado'!$D$20</f>
        <v>0</v>
      </c>
      <c r="F2">
        <f>'TCO Estimado'!$D$26</f>
        <v>0</v>
      </c>
      <c r="G2" s="1">
        <f>IF('TCO Estimado'!$D$15 = "Própria", 'TCO Estimado'!$D$21, 0)</f>
        <v>0</v>
      </c>
      <c r="H2" s="1">
        <f>IF('TCO Estimado'!$D$15 = "Alugada", 'TCO Estimado'!$D$21, 0)</f>
        <v>0</v>
      </c>
      <c r="I2">
        <f>'TCO Estimado'!$D$24</f>
        <v>0</v>
      </c>
      <c r="J2">
        <f>'TCO Estimado'!$D$27</f>
        <v>0</v>
      </c>
      <c r="K2" s="1">
        <f>IF('TCO Estimado'!$D$15 = "Própria",'TCO Estimado'!$D$29, 0)</f>
        <v>0</v>
      </c>
      <c r="L2" s="1">
        <f>'TCO Estimado'!$D$34</f>
        <v>0</v>
      </c>
      <c r="M2" s="1">
        <f>'TCO Estimado'!$D$30</f>
        <v>0</v>
      </c>
      <c r="N2" s="7">
        <f>IFERROR(Tabela2[[#This Row],[km total]]/Tabela2[[#This Row],[Consumo (km/L)]]*VLOOKUP(Tabela2[[#This Row],[Tipo de Combustivel]],Dados!$F$3:$G$5,2,FALSE), 0)</f>
        <v>0</v>
      </c>
      <c r="O2" s="8">
        <f>IF('TCO Estimado'!$D$15 = "Própria", Tabela2[[#This Row],[km total]]/10000*0.711%*Tabela2[[#This Row],[Custo de aquisição]], 'TCO Estimado'!$D$29)</f>
        <v>0</v>
      </c>
      <c r="P2" s="8">
        <f>IF('TCO Estimado'!$D$15 = "Alugada", 0, IF(Tabela2[[#This Row],[Custo de aquisição]]&lt;=100000,Tabela2[[#This Row],[Custo de aquisição]]*Dados!$T$10,IF(Tabela2[[#This Row],[Custo de aquisição]]&lt;=200000,Tabela2[[#This Row],[Custo de aquisição]]*Dados!$T$20,Tabela2[[#This Row],[Custo de aquisição]]*Dados!$T$29)))</f>
        <v>0</v>
      </c>
      <c r="Q2" s="8" t="str">
        <f>IFERROR(IF('TCO Estimado'!$D$15 = "Alugada", 0,Tabela2[[#This Row],[Custo de aquisição]]*VLOOKUP(Tabela2[[#This Row],[UF de Licenciamento]],Dados!J4:K30,2,FALSE)),"")</f>
        <v/>
      </c>
      <c r="R2" s="8">
        <f>IFERROR(-SUM(Tabela2[[#This Row],[IPVA]],Tabela2[[#This Row],[Seguro anual]],Tabela2[[#This Row],[Manutenção]],Tabela2[[#This Row],[Custo de combustível]]/Tabela2[[#This Row],[Tempo (Meses)]]*12,Tabela2[[#This Row],[Custo Mensal Locação]]*12) * Tabela2[[#This Row],[Quantidade]] - Tabela2[[#This Row],[custos anuais da frota]],0)</f>
        <v>0</v>
      </c>
      <c r="S2" s="8">
        <f>IF(Tabela2[[#This Row],[Custo Mensal Locação]]=0,(-(Tabela2[[#This Row],[Quantidade]]*Tabela2[[#This Row],[Custo de aquisição]])+(Tabela2[[#This Row],[Quantidade]]*Tabela2[[#This Row],[Valor residual estimado]])), 0)+(Tabela2[[#This Row],[Custo Anual]]*(Tabela2[[#This Row],[Tempo (Meses)]]/12))-Tabela2[[#This Row],[Custo de Desmobilização]]</f>
        <v>0</v>
      </c>
    </row>
    <row r="3" spans="1:21" x14ac:dyDescent="0.3">
      <c r="A3" t="s">
        <v>77</v>
      </c>
      <c r="B3">
        <f>'TCO Estimado'!$F$19</f>
        <v>0</v>
      </c>
      <c r="C3">
        <f>'TCO Estimado'!$F$23</f>
        <v>0</v>
      </c>
      <c r="D3">
        <f>'TCO Estimado'!$D$14</f>
        <v>0</v>
      </c>
      <c r="E3">
        <f>'TCO Estimado'!$F$20</f>
        <v>0</v>
      </c>
      <c r="F3">
        <f>'TCO Estimado'!$F$26</f>
        <v>0</v>
      </c>
      <c r="G3" s="1">
        <f>IF('TCO Estimado'!$D$15 = "Própria", 'TCO Estimado'!$F$21, 0)</f>
        <v>0</v>
      </c>
      <c r="H3" s="1">
        <f>IF('TCO Estimado'!$D$15 = "Alugada", 'TCO Estimado'!$F$21, 0)</f>
        <v>0</v>
      </c>
      <c r="I3">
        <f>'TCO Estimado'!$F$24</f>
        <v>0</v>
      </c>
      <c r="J3">
        <f>'TCO Estimado'!$F$27</f>
        <v>0</v>
      </c>
      <c r="K3" s="1">
        <f>IF('TCO Estimado'!$D$15 = "Própria",'TCO Estimado'!$F$29, 0)</f>
        <v>0</v>
      </c>
      <c r="L3" s="1">
        <f>'TCO Estimado'!$F$34</f>
        <v>0</v>
      </c>
      <c r="M3" s="1">
        <f>'TCO Estimado'!$F$30</f>
        <v>0</v>
      </c>
      <c r="N3" s="7">
        <f>IFERROR(Tabela2[[#This Row],[km total]]/Tabela2[[#This Row],[Consumo (km/L)]]*VLOOKUP(Tabela2[[#This Row],[Tipo de Combustivel]],Dados!$F$3:$G$5,2,FALSE), 0)</f>
        <v>0</v>
      </c>
      <c r="O3" s="8">
        <f>IF('TCO Estimado'!$D$15 = "Própria", Tabela2[[#This Row],[km total]]/10000*0.711%*Tabela2[[#This Row],[Custo de aquisição]], 'TCO Estimado'!$F$29)</f>
        <v>0</v>
      </c>
      <c r="P3" s="8">
        <f>IF('TCO Estimado'!$D$15 = "Alugada", 0, IF(Tabela2[[#This Row],[Custo de aquisição]]&lt;=100000,Tabela2[[#This Row],[Custo de aquisição]]*Dados!$T$10,IF(Tabela2[[#This Row],[Custo de aquisição]]&lt;=200000,Tabela2[[#This Row],[Custo de aquisição]]*Dados!$T$20,Tabela2[[#This Row],[Custo de aquisição]]*Dados!$T$29)))</f>
        <v>0</v>
      </c>
      <c r="Q3" s="8" t="str">
        <f>IFERROR(IF('TCO Estimado'!$D$15 = "Alugada", 0,Tabela2[[#This Row],[Custo de aquisição]]*VLOOKUP(Tabela2[[#This Row],[UF de Licenciamento]],Dados!J5:K31,2,FALSE)),"")</f>
        <v/>
      </c>
      <c r="R3" s="8">
        <f>IFERROR(-SUM(Tabela2[[#This Row],[IPVA]],Tabela2[[#This Row],[Seguro anual]],Tabela2[[#This Row],[Manutenção]],Tabela2[[#This Row],[Custo de combustível]]/Tabela2[[#This Row],[Tempo (Meses)]]*12,Tabela2[[#This Row],[Custo Mensal Locação]]*12) * Tabela2[[#This Row],[Quantidade]] - Tabela2[[#This Row],[custos anuais da frota]],0)</f>
        <v>0</v>
      </c>
      <c r="S3" s="8">
        <f>IFERROR((IF(Tabela2[[#This Row],[Custo Mensal Locação]]=0,(-(Tabela2[[#This Row],[Quantidade]]*Tabela2[[#This Row],[Custo de aquisição]])+(Tabela2[[#This Row],[Quantidade]]*Tabela2[[#This Row],[Valor residual estimado]])), 0)+(Tabela2[[#This Row],[Custo Anual]]*(Tabela2[[#This Row],[Tempo (Meses)]]/12))-Tabela2[[#This Row],[Custo de Desmobilização]]),0)</f>
        <v>0</v>
      </c>
    </row>
    <row r="4" spans="1:21" x14ac:dyDescent="0.3">
      <c r="A4" t="s">
        <v>78</v>
      </c>
      <c r="B4">
        <f>'TCO Estimado'!$H$19</f>
        <v>0</v>
      </c>
      <c r="C4">
        <f>'TCO Estimado'!$H$23</f>
        <v>0</v>
      </c>
      <c r="D4">
        <f>'TCO Estimado'!$D$14</f>
        <v>0</v>
      </c>
      <c r="E4">
        <f>'TCO Estimado'!$H$20</f>
        <v>0</v>
      </c>
      <c r="F4">
        <f>'TCO Estimado'!$H$26</f>
        <v>0</v>
      </c>
      <c r="G4" s="1">
        <f>IF('TCO Estimado'!$D$15 = "Própria", 'TCO Estimado'!$H$21, 0)</f>
        <v>0</v>
      </c>
      <c r="H4" s="1">
        <f>IF('TCO Estimado'!$D$15 = "Alugada", 'TCO Estimado'!$H$21, 0)</f>
        <v>0</v>
      </c>
      <c r="I4">
        <f>'TCO Estimado'!$H$24</f>
        <v>0</v>
      </c>
      <c r="J4">
        <f>'TCO Estimado'!$H$27</f>
        <v>0</v>
      </c>
      <c r="K4" s="1">
        <f>IF('TCO Estimado'!$D$15 = "Própria",'TCO Estimado'!$H$29, 0)</f>
        <v>0</v>
      </c>
      <c r="L4" s="1">
        <f>'TCO Estimado'!$H$34</f>
        <v>0</v>
      </c>
      <c r="M4" s="1">
        <f>'TCO Estimado'!$H$30</f>
        <v>0</v>
      </c>
      <c r="N4" s="7">
        <f>IFERROR(Tabela2[[#This Row],[km total]]/Tabela2[[#This Row],[Consumo (km/L)]]*VLOOKUP(Tabela2[[#This Row],[Tipo de Combustivel]],Dados!$F$3:$G$5,2,FALSE), 0)</f>
        <v>0</v>
      </c>
      <c r="O4" s="8">
        <f>IF('TCO Estimado'!$D$15 = "Própria", Tabela2[[#This Row],[km total]]/10000*0.711%*Tabela2[[#This Row],[Custo de aquisição]], 'TCO Estimado'!$H$29)</f>
        <v>0</v>
      </c>
      <c r="P4" s="8">
        <f>IF('TCO Estimado'!$D$15 = "Alugada", 0, IF(Tabela2[[#This Row],[Custo de aquisição]]&lt;=100000,Tabela2[[#This Row],[Custo de aquisição]]*Dados!$T$10,IF(Tabela2[[#This Row],[Custo de aquisição]]&lt;=200000,Tabela2[[#This Row],[Custo de aquisição]]*Dados!$T$20,Tabela2[[#This Row],[Custo de aquisição]]*Dados!$T$29)))</f>
        <v>0</v>
      </c>
      <c r="Q4" s="8" t="str">
        <f>IFERROR(IF('TCO Estimado'!$D$15 = "Alugada", 0,Tabela2[[#This Row],[Custo de aquisição]]*VLOOKUP(Tabela2[[#This Row],[UF de Licenciamento]],Dados!J6:K32,2,FALSE)),"")</f>
        <v/>
      </c>
      <c r="R4" s="8">
        <f>IFERROR(-SUM(Tabela2[[#This Row],[IPVA]],Tabela2[[#This Row],[Seguro anual]],Tabela2[[#This Row],[Manutenção]],Tabela2[[#This Row],[Custo de combustível]]/Tabela2[[#This Row],[Tempo (Meses)]]*12,Tabela2[[#This Row],[Custo Mensal Locação]]*12) * Tabela2[[#This Row],[Quantidade]] - Tabela2[[#This Row],[custos anuais da frota]],0)</f>
        <v>0</v>
      </c>
      <c r="S4" s="8">
        <f>IFERROR(IF(Tabela2[[#This Row],[Custo Mensal Locação]]=0,(-(Tabela2[[#This Row],[Quantidade]]*Tabela2[[#This Row],[Custo de aquisição]])+(Tabela2[[#This Row],[Quantidade]]*Tabela2[[#This Row],[Valor residual estimado]])), 0)+(Tabela2[[#This Row],[Custo Anual]]*(Tabela2[[#This Row],[Tempo (Meses)]]/12))-Tabela2[[#This Row],[Custo de Desmobilização]],0)</f>
        <v>0</v>
      </c>
    </row>
    <row r="6" spans="1:21" x14ac:dyDescent="0.3">
      <c r="B6" t="s">
        <v>0</v>
      </c>
      <c r="C6" t="s">
        <v>67</v>
      </c>
      <c r="D6" t="s">
        <v>42</v>
      </c>
      <c r="E6" t="s">
        <v>5</v>
      </c>
      <c r="F6" t="s">
        <v>4</v>
      </c>
      <c r="G6" t="s">
        <v>1</v>
      </c>
      <c r="H6" t="s">
        <v>71</v>
      </c>
      <c r="I6" t="s">
        <v>68</v>
      </c>
      <c r="J6" t="s">
        <v>6</v>
      </c>
      <c r="K6" t="s">
        <v>3</v>
      </c>
      <c r="L6" t="s">
        <v>87</v>
      </c>
      <c r="M6" t="s">
        <v>86</v>
      </c>
      <c r="N6" t="s">
        <v>85</v>
      </c>
      <c r="O6" t="s">
        <v>54</v>
      </c>
      <c r="P6" t="s">
        <v>70</v>
      </c>
      <c r="Q6" t="s">
        <v>69</v>
      </c>
      <c r="R6" t="s">
        <v>2</v>
      </c>
      <c r="S6" t="s">
        <v>43</v>
      </c>
      <c r="T6" t="s">
        <v>55</v>
      </c>
      <c r="U6" t="s">
        <v>72</v>
      </c>
    </row>
    <row r="7" spans="1:21" x14ac:dyDescent="0.3">
      <c r="A7" t="s">
        <v>76</v>
      </c>
      <c r="B7">
        <f>'TCO Estimado'!$D$19</f>
        <v>0</v>
      </c>
      <c r="C7">
        <f>'TCO Estimado'!$D$23</f>
        <v>0</v>
      </c>
      <c r="D7">
        <f>'TCO Estimado'!$D$14</f>
        <v>0</v>
      </c>
      <c r="E7">
        <f>'TCO Estimado'!$D$20</f>
        <v>0</v>
      </c>
      <c r="F7">
        <f>'TCO Estimado'!$D$26</f>
        <v>0</v>
      </c>
      <c r="G7" s="1">
        <f>IF('TCO Estimado'!$D$15 = "Própria", 'TCO Estimado'!$D$21, 0)</f>
        <v>0</v>
      </c>
      <c r="H7" s="1">
        <f>IF('TCO Estimado'!$D$15 = "Alugada", 'TCO Estimado'!$D$21, 0)</f>
        <v>0</v>
      </c>
      <c r="I7">
        <f>'TCO Estimado'!$D$24</f>
        <v>0</v>
      </c>
      <c r="J7">
        <f>'TCO Estimado'!$D$27</f>
        <v>0</v>
      </c>
      <c r="K7" s="1">
        <f>IF('TCO Estimado'!$D$15 = "Própria",'TCO Estimado'!$D$29, 0)</f>
        <v>0</v>
      </c>
      <c r="L7" s="1">
        <f>'TCO Estimado'!$D$32</f>
        <v>0</v>
      </c>
      <c r="M7" s="1">
        <f>'TCO Estimado'!$D$33</f>
        <v>0</v>
      </c>
      <c r="N7" s="1">
        <f>'TCO Estimado'!$D$34</f>
        <v>0</v>
      </c>
      <c r="O7" s="1">
        <f>'TCO Estimado'!$D$30</f>
        <v>0</v>
      </c>
      <c r="P7" s="1">
        <f>IFERROR(I7/J7*VLOOKUP(F7,Dados!$F$3:$G$5,2,FALSE), 0)</f>
        <v>0</v>
      </c>
      <c r="Q7" s="1">
        <f>IF('TCO Estimado'!$D$15 = "Própria", I7/10000*0.711%*G7, 'TCO Estimado'!$D$29)</f>
        <v>0</v>
      </c>
      <c r="R7" s="1">
        <f>IF('TCO Estimado'!$D$15 = "Alugada", 0, IF(G7&lt;=100000,G7*Dados!$T$10,IF(G7&lt;=200000,G7*Dados!$T$20,G7*Dados!$T$29)))</f>
        <v>0</v>
      </c>
      <c r="S7" s="1" t="str">
        <f>IFERROR(IF('TCO Estimado'!$D$15 = "Alugada", 0,G7*VLOOKUP(D7,Dados!J4:K30,2,FALSE)),"")</f>
        <v/>
      </c>
      <c r="T7" s="1">
        <f>SUM(S7,R7,Q7,IFERROR(P7/C7*12, 0),H7*12)*E7+SUM(N7,M7+L7)</f>
        <v>0</v>
      </c>
      <c r="U7" s="1">
        <f>IFERROR(IF(H7=0,((E7*G7)-(E7*K7)), 0)+(T7*(C7/12))+O7, 0)</f>
        <v>0</v>
      </c>
    </row>
    <row r="8" spans="1:21" x14ac:dyDescent="0.3">
      <c r="A8" t="s">
        <v>77</v>
      </c>
      <c r="B8">
        <f>'TCO Estimado'!$F$19</f>
        <v>0</v>
      </c>
      <c r="C8">
        <f>'TCO Estimado'!$F$23</f>
        <v>0</v>
      </c>
      <c r="D8">
        <f>'TCO Estimado'!$D$14</f>
        <v>0</v>
      </c>
      <c r="E8">
        <f>'TCO Estimado'!$F$20</f>
        <v>0</v>
      </c>
      <c r="F8">
        <f>'TCO Estimado'!$F$26</f>
        <v>0</v>
      </c>
      <c r="G8" s="1">
        <f>IF('TCO Estimado'!$D$15 = "Própria", 'TCO Estimado'!$F$21, 0)</f>
        <v>0</v>
      </c>
      <c r="H8" s="1">
        <f>IF('TCO Estimado'!$D$15 = "Alugada", 'TCO Estimado'!$F$21, 0)</f>
        <v>0</v>
      </c>
      <c r="I8">
        <f>'TCO Estimado'!$F$24</f>
        <v>0</v>
      </c>
      <c r="J8">
        <f>'TCO Estimado'!$F$27</f>
        <v>0</v>
      </c>
      <c r="K8" s="1">
        <f>IF('TCO Estimado'!$D$15 = "Própria",'TCO Estimado'!$F$29, 0)</f>
        <v>0</v>
      </c>
      <c r="L8" s="1">
        <f>'TCO Estimado'!$F$32</f>
        <v>0</v>
      </c>
      <c r="M8" s="1">
        <f>'TCO Estimado'!$F$33</f>
        <v>0</v>
      </c>
      <c r="N8" s="1">
        <f>'TCO Estimado'!$F$34</f>
        <v>0</v>
      </c>
      <c r="O8" s="1">
        <f>'TCO Estimado'!$F$30</f>
        <v>0</v>
      </c>
      <c r="P8" s="1">
        <f>IFERROR(I8/J8*VLOOKUP(F8,Dados!$F$3:$G$5,2,FALSE), 0)</f>
        <v>0</v>
      </c>
      <c r="Q8" s="1">
        <f>IF('TCO Estimado'!$D$15 = "Própria", I8/10000*0.711%*G8, 'TCO Estimado'!$D$29)</f>
        <v>0</v>
      </c>
      <c r="R8" s="1">
        <f>IF('TCO Estimado'!$D$15 = "Alugada", 0, IF(G8&lt;=100000,G8*Dados!$T$10,IF(G8&lt;=200000,G8*Dados!$T$20,G8*Dados!$T$29)))</f>
        <v>0</v>
      </c>
      <c r="S8" s="1" t="str">
        <f>IFERROR(IF('TCO Estimado'!$D$15 = "Alugada", 0,G8*VLOOKUP(D8,Dados!J5:K31,2,FALSE)),"")</f>
        <v/>
      </c>
      <c r="T8" s="1">
        <f>SUM(S8,R8,Q8,IFERROR(P8/C8*12, 0),H8*12)*E8+SUM(N8,M8+L8)</f>
        <v>0</v>
      </c>
      <c r="U8" s="1">
        <f t="shared" ref="U8" si="0">IFERROR(IF(H8=0,((E8*G8)-(E8*K8)), 0)+(T8*(C8/12))+O8, 0)</f>
        <v>0</v>
      </c>
    </row>
    <row r="9" spans="1:21" x14ac:dyDescent="0.3">
      <c r="A9" t="s">
        <v>78</v>
      </c>
      <c r="B9">
        <f>'TCO Estimado'!$H$19</f>
        <v>0</v>
      </c>
      <c r="C9">
        <f>'TCO Estimado'!$H$23</f>
        <v>0</v>
      </c>
      <c r="D9">
        <f>'TCO Estimado'!$D$14</f>
        <v>0</v>
      </c>
      <c r="E9">
        <f>'TCO Estimado'!$H$20</f>
        <v>0</v>
      </c>
      <c r="F9">
        <f>'TCO Estimado'!$H$26</f>
        <v>0</v>
      </c>
      <c r="G9" s="1">
        <f>IF('TCO Estimado'!$D$15 = "Própria", 'TCO Estimado'!$H$21, 0)</f>
        <v>0</v>
      </c>
      <c r="H9" s="1">
        <f>IF('TCO Estimado'!$D$15 = "Alugada", 'TCO Estimado'!$H$21, 0)</f>
        <v>0</v>
      </c>
      <c r="I9">
        <f>'TCO Estimado'!$H$24</f>
        <v>0</v>
      </c>
      <c r="J9">
        <f>'TCO Estimado'!$H$27</f>
        <v>0</v>
      </c>
      <c r="K9" s="1">
        <f>IF('TCO Estimado'!$D$15 = "Própria",'TCO Estimado'!$H$29, 0)</f>
        <v>0</v>
      </c>
      <c r="L9" s="1">
        <f>'TCO Estimado'!$H$32</f>
        <v>0</v>
      </c>
      <c r="M9" s="1">
        <f>'TCO Estimado'!$H$33</f>
        <v>0</v>
      </c>
      <c r="N9" s="1">
        <f>'TCO Estimado'!$H$34</f>
        <v>0</v>
      </c>
      <c r="O9" s="1">
        <f>'TCO Estimado'!$H$30</f>
        <v>0</v>
      </c>
      <c r="P9" s="1">
        <f>IFERROR(I9/J9*VLOOKUP(F9,Dados!$F$3:$G$5,2,FALSE), 0)</f>
        <v>0</v>
      </c>
      <c r="Q9" s="1">
        <f>IF('TCO Estimado'!$D$15 = "Própria", I9/10000*0.711%*G9, 'TCO Estimado'!$D$29)</f>
        <v>0</v>
      </c>
      <c r="R9" s="1">
        <f>IF('TCO Estimado'!$D$15 = "Alugada", 0, IF(G9&lt;=100000,G9*Dados!$T$10,IF(G9&lt;=200000,G9*Dados!$T$20,G9*Dados!$T$29)))</f>
        <v>0</v>
      </c>
      <c r="S9" s="1" t="str">
        <f>IFERROR(IF('TCO Estimado'!$D$15 = "Alugada", 0,G9*VLOOKUP(D9,Dados!J6:K32,2,FALSE)),"")</f>
        <v/>
      </c>
      <c r="T9" s="1">
        <f>SUM(S9,R9,Q9,IFERROR(P9/C9*12, 0),H9*12)*E9+SUM(N9,M9+L9)</f>
        <v>0</v>
      </c>
      <c r="U9" s="1">
        <f>IFERROR(IF(H9=0,((E9*G9)-(E9*K9)), 0)+(T9*(C9/12))+O9, 0)</f>
        <v>0</v>
      </c>
    </row>
  </sheetData>
  <sheetProtection algorithmName="SHA-512" hashValue="zCShgp5GQpjsuJRJvZPoeiE1L8NJvnIhDaRn7P9HRhnNvgKJ5LeWH+e6SuQHiUywRQONOV3B/AmpnucXZY9jCA==" saltValue="NZyyZsyHLqq/TYvULeDgKA==" spinCount="100000" sheet="1" objects="1" scenarios="1" selectLockedCells="1" selectUnlockedCells="1"/>
  <pageMargins left="0.511811024" right="0.511811024" top="0.78740157499999996" bottom="0.78740157499999996" header="0.31496062000000002" footer="0.31496062000000002"/>
  <ignoredErrors>
    <ignoredError sqref="B4:E4 B2:E2 I2:K2 B3:E3 I3:J3 I4:J4 H3:H4 L3:M3 L4:M4 K3:K4 G3:G4 P2 Q3:Q4 P4 P3 O2:O4 N2:N4 M2 Q2 G2 S2:S4 R2:R4" calculatedColumn="1"/>
    <ignoredError sqref="F3 F2 F4" listDataValidation="1" calculatedColumn="1"/>
  </ignoredErrors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D981A7F-6053-4CF7-9731-901ABE97D0AC}">
          <x14:formula1>
            <xm:f>Dados!$F$3:$F$5</xm:f>
          </x14:formula1>
          <xm:sqref>F2:F4 F7:F9</xm:sqref>
        </x14:dataValidation>
        <x14:dataValidation type="list" allowBlank="1" showInputMessage="1" showErrorMessage="1" xr:uid="{22224B8A-047F-49D4-BA2F-5A652CF3B5B8}">
          <x14:formula1>
            <xm:f>Dados!$J$4:$J$30</xm:f>
          </x14:formula1>
          <xm:sqref>D2:D4 D7:D9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073E3-FAFD-4784-84B8-3E35E9507BD5}">
  <sheetPr codeName="Planilha3"/>
  <dimension ref="A1:AA70"/>
  <sheetViews>
    <sheetView showGridLines="0" topLeftCell="W1" workbookViewId="0">
      <selection activeCell="AD7" sqref="AD7"/>
    </sheetView>
  </sheetViews>
  <sheetFormatPr defaultRowHeight="14.4" x14ac:dyDescent="0.3"/>
  <cols>
    <col min="1" max="1" width="15.33203125" hidden="1" customWidth="1"/>
    <col min="2" max="4" width="15.6640625" hidden="1" customWidth="1"/>
    <col min="5" max="16" width="8.88671875" hidden="1" customWidth="1"/>
    <col min="17" max="17" width="23.33203125" hidden="1" customWidth="1"/>
    <col min="18" max="18" width="12.88671875" hidden="1" customWidth="1"/>
    <col min="19" max="19" width="15.5546875" hidden="1" customWidth="1"/>
    <col min="20" max="20" width="8.88671875" hidden="1" customWidth="1"/>
    <col min="21" max="22" width="0" hidden="1" customWidth="1"/>
  </cols>
  <sheetData>
    <row r="1" spans="1:27" x14ac:dyDescent="0.3">
      <c r="B1" s="64" t="s">
        <v>10</v>
      </c>
      <c r="C1" s="64"/>
      <c r="D1" s="64"/>
    </row>
    <row r="2" spans="1:27" x14ac:dyDescent="0.3">
      <c r="B2" t="s">
        <v>8</v>
      </c>
      <c r="C2" t="s">
        <v>7</v>
      </c>
      <c r="D2" t="s">
        <v>9</v>
      </c>
      <c r="J2" t="s">
        <v>41</v>
      </c>
    </row>
    <row r="3" spans="1:27" x14ac:dyDescent="0.3">
      <c r="A3" s="12">
        <v>45094</v>
      </c>
      <c r="B3" s="1">
        <v>5.21</v>
      </c>
      <c r="C3" s="3">
        <v>5.0999999999999996</v>
      </c>
      <c r="D3" s="3">
        <v>3.77</v>
      </c>
      <c r="F3" t="s">
        <v>8</v>
      </c>
      <c r="G3" s="13">
        <f>B47</f>
        <v>5.1844186046511629</v>
      </c>
      <c r="J3" t="s">
        <v>12</v>
      </c>
      <c r="K3" t="s">
        <v>13</v>
      </c>
    </row>
    <row r="4" spans="1:27" x14ac:dyDescent="0.3">
      <c r="A4" s="12">
        <v>45081</v>
      </c>
      <c r="B4" s="1">
        <v>5.26</v>
      </c>
      <c r="C4" s="3">
        <v>5.17</v>
      </c>
      <c r="D4" s="3">
        <v>3.84</v>
      </c>
      <c r="F4" t="s">
        <v>7</v>
      </c>
      <c r="G4" s="13">
        <f>C47</f>
        <v>6.2625581395348853</v>
      </c>
      <c r="J4" t="s">
        <v>14</v>
      </c>
      <c r="K4" s="6">
        <v>0.02</v>
      </c>
      <c r="Q4" t="s">
        <v>56</v>
      </c>
    </row>
    <row r="5" spans="1:27" x14ac:dyDescent="0.3">
      <c r="A5" s="12">
        <v>45074</v>
      </c>
      <c r="B5" s="1">
        <v>5.46</v>
      </c>
      <c r="C5" s="3">
        <v>5.39</v>
      </c>
      <c r="D5" s="3">
        <v>3.99</v>
      </c>
      <c r="F5" t="s">
        <v>9</v>
      </c>
      <c r="G5" s="13">
        <f>D47</f>
        <v>3.8260465116279074</v>
      </c>
      <c r="J5" t="s">
        <v>15</v>
      </c>
      <c r="K5" s="6">
        <v>0.03</v>
      </c>
      <c r="Q5" t="s">
        <v>44</v>
      </c>
      <c r="R5" s="1">
        <v>3433</v>
      </c>
      <c r="S5" s="1">
        <v>75830</v>
      </c>
      <c r="T5" s="6">
        <f>R5/S5</f>
        <v>4.5272319662402742E-2</v>
      </c>
    </row>
    <row r="6" spans="1:27" x14ac:dyDescent="0.3">
      <c r="A6" s="12">
        <v>45067</v>
      </c>
      <c r="B6" s="1">
        <v>5.49</v>
      </c>
      <c r="C6" s="3">
        <v>5.52</v>
      </c>
      <c r="D6" s="3">
        <v>4.09</v>
      </c>
      <c r="J6" t="s">
        <v>16</v>
      </c>
      <c r="K6" s="6">
        <v>0.03</v>
      </c>
      <c r="Q6" t="s">
        <v>45</v>
      </c>
      <c r="R6" s="1">
        <v>3641</v>
      </c>
      <c r="S6" s="1">
        <v>82290</v>
      </c>
      <c r="T6" s="6">
        <f t="shared" ref="T6" si="0">R6/S6</f>
        <v>4.4245959411836192E-2</v>
      </c>
    </row>
    <row r="7" spans="1:27" x14ac:dyDescent="0.3">
      <c r="A7" s="12">
        <v>45060</v>
      </c>
      <c r="B7" s="1">
        <v>5.52</v>
      </c>
      <c r="C7" s="3">
        <v>5.65</v>
      </c>
      <c r="D7" s="3">
        <v>4.1500000000000004</v>
      </c>
      <c r="F7" t="s">
        <v>66</v>
      </c>
      <c r="J7" t="s">
        <v>17</v>
      </c>
      <c r="K7" s="6">
        <v>0.03</v>
      </c>
      <c r="Q7" t="s">
        <v>48</v>
      </c>
      <c r="R7" s="1">
        <v>4157</v>
      </c>
      <c r="S7" s="1">
        <v>103980</v>
      </c>
      <c r="T7" s="6">
        <f>R7/S7</f>
        <v>3.9978842085016349E-2</v>
      </c>
    </row>
    <row r="8" spans="1:27" x14ac:dyDescent="0.3">
      <c r="A8" s="12">
        <v>45053</v>
      </c>
      <c r="B8" s="1">
        <v>5.51</v>
      </c>
      <c r="C8" s="3">
        <v>5.71</v>
      </c>
      <c r="D8" s="3">
        <v>4.0999999999999996</v>
      </c>
      <c r="F8" t="s">
        <v>65</v>
      </c>
      <c r="J8" t="s">
        <v>18</v>
      </c>
      <c r="K8" s="6">
        <v>2.5000000000000001E-2</v>
      </c>
      <c r="Q8" t="s">
        <v>51</v>
      </c>
      <c r="R8" s="1">
        <v>3217</v>
      </c>
      <c r="S8" s="1">
        <v>71590</v>
      </c>
      <c r="T8" s="6">
        <f>R8/S8</f>
        <v>4.4936443637379524E-2</v>
      </c>
    </row>
    <row r="9" spans="1:27" x14ac:dyDescent="0.3">
      <c r="A9" s="12">
        <v>45046</v>
      </c>
      <c r="B9" s="1">
        <v>5.51</v>
      </c>
      <c r="C9" s="3">
        <v>5.73</v>
      </c>
      <c r="D9" s="3">
        <v>3.98</v>
      </c>
      <c r="J9" t="s">
        <v>19</v>
      </c>
      <c r="K9" s="6">
        <v>3.5000000000000003E-2</v>
      </c>
      <c r="Q9" t="s">
        <v>53</v>
      </c>
      <c r="R9" s="1">
        <v>3793</v>
      </c>
      <c r="S9" s="1">
        <v>57890</v>
      </c>
      <c r="T9" s="6">
        <f>R9/S9</f>
        <v>6.5520815339436864E-2</v>
      </c>
    </row>
    <row r="10" spans="1:27" x14ac:dyDescent="0.3">
      <c r="A10" s="12">
        <v>45039</v>
      </c>
      <c r="B10" s="1">
        <v>5.51</v>
      </c>
      <c r="C10" s="3">
        <v>5.76</v>
      </c>
      <c r="D10" s="3">
        <v>3.9</v>
      </c>
      <c r="J10" t="s">
        <v>20</v>
      </c>
      <c r="K10" s="6">
        <v>3.5000000000000003E-2</v>
      </c>
      <c r="T10" s="14">
        <f>AVERAGE(T5:T9)</f>
        <v>4.7990876027214337E-2</v>
      </c>
      <c r="U10" s="3"/>
      <c r="V10" s="3"/>
      <c r="W10" s="3"/>
      <c r="X10" s="3"/>
      <c r="Y10" s="3"/>
      <c r="Z10" s="3"/>
      <c r="AA10" s="3"/>
    </row>
    <row r="11" spans="1:27" ht="15" x14ac:dyDescent="0.3">
      <c r="A11" s="12">
        <v>45032</v>
      </c>
      <c r="B11" s="1">
        <v>5.5</v>
      </c>
      <c r="C11" s="3">
        <v>5.78</v>
      </c>
      <c r="D11" s="3">
        <v>3.88</v>
      </c>
      <c r="E11" s="2"/>
      <c r="J11" t="s">
        <v>21</v>
      </c>
      <c r="K11" s="6">
        <v>0.02</v>
      </c>
    </row>
    <row r="12" spans="1:27" ht="15" x14ac:dyDescent="0.3">
      <c r="A12" s="12">
        <v>45025</v>
      </c>
      <c r="B12" s="1">
        <v>5.48</v>
      </c>
      <c r="C12" s="3">
        <v>5.8</v>
      </c>
      <c r="D12" s="3">
        <v>3.89</v>
      </c>
      <c r="E12" s="2"/>
      <c r="J12" t="s">
        <v>22</v>
      </c>
      <c r="K12" s="6">
        <v>3.7499999999999999E-2</v>
      </c>
    </row>
    <row r="13" spans="1:27" ht="15" x14ac:dyDescent="0.3">
      <c r="A13" s="12">
        <v>45018</v>
      </c>
      <c r="B13" s="1">
        <v>5.51</v>
      </c>
      <c r="C13" s="3">
        <v>5.86</v>
      </c>
      <c r="D13" s="3">
        <v>3.92</v>
      </c>
      <c r="E13" s="2"/>
      <c r="J13" t="s">
        <v>23</v>
      </c>
      <c r="K13" s="6">
        <v>2.5000000000000001E-2</v>
      </c>
      <c r="Q13" t="s">
        <v>57</v>
      </c>
    </row>
    <row r="14" spans="1:27" ht="15" x14ac:dyDescent="0.3">
      <c r="A14" s="12">
        <v>45011</v>
      </c>
      <c r="B14" s="1">
        <v>5.54</v>
      </c>
      <c r="C14" s="3">
        <v>5.9</v>
      </c>
      <c r="D14" s="3">
        <v>3.94</v>
      </c>
      <c r="E14" s="2"/>
      <c r="J14" t="s">
        <v>24</v>
      </c>
      <c r="K14" s="6">
        <v>0.04</v>
      </c>
      <c r="Q14" t="s">
        <v>46</v>
      </c>
      <c r="R14" s="1">
        <v>5835</v>
      </c>
      <c r="S14" s="1">
        <v>143600</v>
      </c>
      <c r="T14" s="6">
        <f t="shared" ref="T14:T17" si="1">R14/S14</f>
        <v>4.0633704735376044E-2</v>
      </c>
    </row>
    <row r="15" spans="1:27" ht="15" x14ac:dyDescent="0.3">
      <c r="A15" s="12">
        <v>45004</v>
      </c>
      <c r="B15" s="1">
        <v>5.57</v>
      </c>
      <c r="C15" s="3">
        <v>5.91</v>
      </c>
      <c r="D15" s="3">
        <v>3.96</v>
      </c>
      <c r="E15" s="2"/>
      <c r="J15" t="s">
        <v>25</v>
      </c>
      <c r="K15" s="6">
        <v>0.03</v>
      </c>
      <c r="Q15" t="s">
        <v>50</v>
      </c>
      <c r="R15" s="1">
        <v>4565</v>
      </c>
      <c r="S15" s="1">
        <v>147250</v>
      </c>
      <c r="T15" s="6">
        <f>R15/S15</f>
        <v>3.1001697792869268E-2</v>
      </c>
    </row>
    <row r="16" spans="1:27" ht="15" x14ac:dyDescent="0.3">
      <c r="A16" s="12">
        <v>44997</v>
      </c>
      <c r="B16" s="1">
        <v>5.25</v>
      </c>
      <c r="C16" s="3">
        <v>5.93</v>
      </c>
      <c r="D16" s="3">
        <v>3.88</v>
      </c>
      <c r="E16" s="2"/>
      <c r="J16" t="s">
        <v>26</v>
      </c>
      <c r="K16" s="6">
        <v>3.5000000000000003E-2</v>
      </c>
      <c r="Q16" t="s">
        <v>52</v>
      </c>
      <c r="R16" s="1">
        <v>5922</v>
      </c>
      <c r="S16" s="1">
        <v>119990</v>
      </c>
      <c r="T16" s="6">
        <f t="shared" si="1"/>
        <v>4.9354112842736893E-2</v>
      </c>
      <c r="U16" s="5"/>
    </row>
    <row r="17" spans="1:20" ht="15" x14ac:dyDescent="0.3">
      <c r="A17" s="12">
        <v>44990</v>
      </c>
      <c r="B17" s="1">
        <v>5.08</v>
      </c>
      <c r="C17" s="3">
        <v>5.95</v>
      </c>
      <c r="D17" s="3">
        <v>3.79</v>
      </c>
      <c r="E17" s="2"/>
      <c r="J17" t="s">
        <v>27</v>
      </c>
      <c r="K17" s="6">
        <v>2.5000000000000001E-2</v>
      </c>
      <c r="Q17" t="s">
        <v>49</v>
      </c>
      <c r="R17" s="1">
        <v>4495</v>
      </c>
      <c r="S17" s="1">
        <v>112690</v>
      </c>
      <c r="T17" s="6">
        <f t="shared" si="1"/>
        <v>3.9888188836631464E-2</v>
      </c>
    </row>
    <row r="18" spans="1:20" ht="15" x14ac:dyDescent="0.3">
      <c r="A18" s="12">
        <v>44983</v>
      </c>
      <c r="B18" s="1">
        <v>5.07</v>
      </c>
      <c r="C18" s="3">
        <v>6.01</v>
      </c>
      <c r="D18" s="3">
        <v>3.8</v>
      </c>
      <c r="E18" s="2"/>
      <c r="J18" t="s">
        <v>28</v>
      </c>
      <c r="K18" s="6">
        <v>2.5000000000000001E-2</v>
      </c>
      <c r="Q18" t="s">
        <v>52</v>
      </c>
      <c r="R18" s="1">
        <v>5922</v>
      </c>
      <c r="S18" s="1">
        <v>119990</v>
      </c>
      <c r="T18" s="6">
        <f>R18/S18</f>
        <v>4.9354112842736893E-2</v>
      </c>
    </row>
    <row r="19" spans="1:20" ht="15" x14ac:dyDescent="0.3">
      <c r="A19" s="12">
        <v>44976</v>
      </c>
      <c r="B19" s="1">
        <v>5.08</v>
      </c>
      <c r="C19" s="3">
        <v>6.23</v>
      </c>
      <c r="D19" s="3">
        <v>3.8</v>
      </c>
      <c r="E19" s="2"/>
      <c r="J19" t="s">
        <v>29</v>
      </c>
      <c r="K19" s="6">
        <v>3.5000000000000003E-2</v>
      </c>
      <c r="Q19" t="s">
        <v>50</v>
      </c>
      <c r="R19" s="1">
        <v>4565</v>
      </c>
      <c r="S19" s="1">
        <v>147250</v>
      </c>
      <c r="T19" s="6">
        <f>R19/S19</f>
        <v>3.1001697792869268E-2</v>
      </c>
    </row>
    <row r="20" spans="1:20" ht="15" x14ac:dyDescent="0.3">
      <c r="A20" s="12">
        <v>44969</v>
      </c>
      <c r="B20" s="1">
        <v>5.12</v>
      </c>
      <c r="C20" s="3">
        <v>6.29</v>
      </c>
      <c r="D20" s="3">
        <v>3.82</v>
      </c>
      <c r="E20" s="2"/>
      <c r="J20" t="s">
        <v>30</v>
      </c>
      <c r="K20" s="6">
        <v>0.03</v>
      </c>
      <c r="T20" s="14">
        <f>AVERAGE(T14:T19)</f>
        <v>4.0205585807203299E-2</v>
      </c>
    </row>
    <row r="21" spans="1:20" ht="15" x14ac:dyDescent="0.3">
      <c r="A21" s="12">
        <v>44962</v>
      </c>
      <c r="B21" s="1">
        <v>4.97</v>
      </c>
      <c r="C21" s="3">
        <v>6.28</v>
      </c>
      <c r="D21" s="3">
        <v>3.78</v>
      </c>
      <c r="E21" s="2"/>
      <c r="J21" t="s">
        <v>31</v>
      </c>
      <c r="K21" s="6">
        <v>2.5000000000000001E-2</v>
      </c>
    </row>
    <row r="22" spans="1:20" ht="15" x14ac:dyDescent="0.3">
      <c r="A22" s="12">
        <v>44955</v>
      </c>
      <c r="B22" s="1">
        <v>4.9800000000000004</v>
      </c>
      <c r="C22" s="3">
        <v>6.32</v>
      </c>
      <c r="D22" s="3">
        <v>3.85</v>
      </c>
      <c r="E22" s="2"/>
      <c r="J22" t="s">
        <v>32</v>
      </c>
      <c r="K22" s="6">
        <v>0.04</v>
      </c>
    </row>
    <row r="23" spans="1:20" ht="15" x14ac:dyDescent="0.3">
      <c r="A23" s="12">
        <v>44948</v>
      </c>
      <c r="B23" s="1">
        <v>5.04</v>
      </c>
      <c r="C23" s="3">
        <v>6.36</v>
      </c>
      <c r="D23" s="3">
        <v>3.94</v>
      </c>
      <c r="E23" s="2"/>
      <c r="J23" t="s">
        <v>33</v>
      </c>
      <c r="K23" s="6">
        <v>0.03</v>
      </c>
      <c r="Q23" t="s">
        <v>58</v>
      </c>
      <c r="R23" s="11"/>
      <c r="S23" s="11"/>
    </row>
    <row r="24" spans="1:20" ht="15" x14ac:dyDescent="0.3">
      <c r="A24" s="12">
        <v>44941</v>
      </c>
      <c r="B24" s="1">
        <v>5.12</v>
      </c>
      <c r="C24" s="3">
        <v>6.41</v>
      </c>
      <c r="D24" s="3">
        <v>4.01</v>
      </c>
      <c r="E24" s="2"/>
      <c r="J24" t="s">
        <v>34</v>
      </c>
      <c r="K24" s="6">
        <v>0.03</v>
      </c>
      <c r="Q24" t="s">
        <v>47</v>
      </c>
      <c r="R24" s="1">
        <v>10487</v>
      </c>
      <c r="S24" s="1">
        <v>252790</v>
      </c>
      <c r="T24" s="6">
        <f>R24/S24</f>
        <v>4.1485027097590887E-2</v>
      </c>
    </row>
    <row r="25" spans="1:20" ht="15" x14ac:dyDescent="0.3">
      <c r="A25" s="12">
        <v>44934</v>
      </c>
      <c r="B25" s="1">
        <v>4.96</v>
      </c>
      <c r="C25" s="3">
        <v>6.25</v>
      </c>
      <c r="D25" s="3">
        <v>3.87</v>
      </c>
      <c r="E25" s="2"/>
      <c r="J25" t="s">
        <v>35</v>
      </c>
      <c r="K25" s="6">
        <v>0.02</v>
      </c>
      <c r="Q25" t="s">
        <v>59</v>
      </c>
      <c r="R25" s="1">
        <v>12222</v>
      </c>
      <c r="S25" s="1">
        <v>285990</v>
      </c>
      <c r="T25" s="6">
        <f t="shared" ref="T25:T28" si="2">R25/S25</f>
        <v>4.2735759991608099E-2</v>
      </c>
    </row>
    <row r="26" spans="1:20" ht="15" x14ac:dyDescent="0.3">
      <c r="A26" s="12">
        <v>44927</v>
      </c>
      <c r="B26" s="1">
        <v>4.93</v>
      </c>
      <c r="C26" s="3">
        <v>6.28</v>
      </c>
      <c r="D26" s="3">
        <v>3.81</v>
      </c>
      <c r="E26" s="2"/>
      <c r="J26" t="s">
        <v>36</v>
      </c>
      <c r="K26" s="6">
        <v>0.03</v>
      </c>
      <c r="Q26" t="s">
        <v>60</v>
      </c>
      <c r="R26" s="1">
        <v>10828</v>
      </c>
      <c r="S26" s="1">
        <v>243990</v>
      </c>
      <c r="T26" s="6">
        <f t="shared" si="2"/>
        <v>4.4378867986392886E-2</v>
      </c>
    </row>
    <row r="27" spans="1:20" ht="15" x14ac:dyDescent="0.3">
      <c r="A27" s="12">
        <v>44920</v>
      </c>
      <c r="B27" s="1">
        <v>4.9400000000000004</v>
      </c>
      <c r="C27" s="3">
        <v>6.36</v>
      </c>
      <c r="D27" s="3">
        <v>3.82</v>
      </c>
      <c r="E27" s="2"/>
      <c r="J27" t="s">
        <v>37</v>
      </c>
      <c r="K27" s="6">
        <v>0.02</v>
      </c>
      <c r="Q27" s="11" t="s">
        <v>61</v>
      </c>
      <c r="R27" s="1">
        <v>11760</v>
      </c>
      <c r="S27" s="1">
        <v>275990</v>
      </c>
      <c r="T27" s="6">
        <f t="shared" si="2"/>
        <v>4.261023950143121E-2</v>
      </c>
    </row>
    <row r="28" spans="1:20" ht="15" x14ac:dyDescent="0.3">
      <c r="A28" s="12">
        <v>44913</v>
      </c>
      <c r="B28" s="1">
        <v>5.01</v>
      </c>
      <c r="C28" s="3">
        <v>6.53</v>
      </c>
      <c r="D28" s="3">
        <v>3.84</v>
      </c>
      <c r="E28" s="2"/>
      <c r="J28" t="s">
        <v>38</v>
      </c>
      <c r="K28" s="6">
        <v>2.5000000000000001E-2</v>
      </c>
      <c r="Q28" t="s">
        <v>62</v>
      </c>
      <c r="R28" s="1">
        <v>10286</v>
      </c>
      <c r="S28" s="1">
        <v>244900</v>
      </c>
      <c r="T28" s="6">
        <f t="shared" si="2"/>
        <v>4.2000816659861169E-2</v>
      </c>
    </row>
    <row r="29" spans="1:20" ht="15" x14ac:dyDescent="0.3">
      <c r="A29" s="12">
        <v>44906</v>
      </c>
      <c r="B29" s="1">
        <v>5.03</v>
      </c>
      <c r="C29" s="3">
        <v>6.55</v>
      </c>
      <c r="D29" s="3">
        <v>3.85</v>
      </c>
      <c r="E29" s="2"/>
      <c r="J29" t="s">
        <v>39</v>
      </c>
      <c r="K29" s="6">
        <v>0.04</v>
      </c>
      <c r="S29" s="1"/>
      <c r="T29" s="14">
        <f>AVERAGE(T24:T28)</f>
        <v>4.2642142247376849E-2</v>
      </c>
    </row>
    <row r="30" spans="1:20" ht="15" x14ac:dyDescent="0.3">
      <c r="A30" s="12">
        <v>44899</v>
      </c>
      <c r="B30" s="1">
        <v>5.04</v>
      </c>
      <c r="C30" s="3">
        <v>6.57</v>
      </c>
      <c r="D30" s="3">
        <v>3.86</v>
      </c>
      <c r="E30" s="2"/>
      <c r="J30" t="s">
        <v>40</v>
      </c>
      <c r="K30" s="6">
        <v>0.02</v>
      </c>
      <c r="R30" s="11"/>
      <c r="S30" s="1"/>
    </row>
    <row r="31" spans="1:20" ht="15" x14ac:dyDescent="0.3">
      <c r="A31" s="12">
        <v>44892</v>
      </c>
      <c r="B31" s="1">
        <v>5.05</v>
      </c>
      <c r="C31" s="3">
        <v>6.57</v>
      </c>
      <c r="D31" s="3">
        <v>3.84</v>
      </c>
      <c r="E31" s="2"/>
      <c r="R31" s="11"/>
      <c r="S31" s="11"/>
    </row>
    <row r="32" spans="1:20" ht="15" x14ac:dyDescent="0.3">
      <c r="A32" s="12">
        <v>44885</v>
      </c>
      <c r="B32" s="1">
        <v>5.0199999999999996</v>
      </c>
      <c r="C32" s="3">
        <v>6.59</v>
      </c>
      <c r="D32" s="3">
        <v>3.79</v>
      </c>
      <c r="E32" s="2"/>
      <c r="R32" s="11"/>
      <c r="S32" s="11"/>
    </row>
    <row r="33" spans="1:19" ht="15" x14ac:dyDescent="0.3">
      <c r="A33" s="12">
        <v>44878</v>
      </c>
      <c r="B33" s="1">
        <v>4.9800000000000004</v>
      </c>
      <c r="C33" s="3">
        <v>6.58</v>
      </c>
      <c r="D33" s="3">
        <v>3.7</v>
      </c>
      <c r="E33" s="2"/>
    </row>
    <row r="34" spans="1:19" ht="15" x14ac:dyDescent="0.3">
      <c r="A34" s="12">
        <v>44871</v>
      </c>
      <c r="B34" s="1">
        <v>4.91</v>
      </c>
      <c r="C34" s="3">
        <v>6.56</v>
      </c>
      <c r="D34" s="3">
        <v>3.63</v>
      </c>
      <c r="E34" s="2"/>
    </row>
    <row r="35" spans="1:19" ht="15" x14ac:dyDescent="0.3">
      <c r="A35" s="12">
        <v>44864</v>
      </c>
      <c r="B35" s="1">
        <v>4.88</v>
      </c>
      <c r="C35" s="3">
        <v>6.59</v>
      </c>
      <c r="D35" s="3">
        <v>3.54</v>
      </c>
      <c r="E35" s="2"/>
      <c r="R35" s="14"/>
      <c r="S35" s="11"/>
    </row>
    <row r="36" spans="1:19" ht="15" x14ac:dyDescent="0.3">
      <c r="A36" s="12">
        <v>44857</v>
      </c>
      <c r="B36" s="1">
        <v>4.8600000000000003</v>
      </c>
      <c r="C36" s="3">
        <v>6.52</v>
      </c>
      <c r="D36" s="3">
        <v>3.46</v>
      </c>
      <c r="E36" s="2"/>
      <c r="R36" s="14"/>
      <c r="S36" s="11"/>
    </row>
    <row r="37" spans="1:19" ht="15" x14ac:dyDescent="0.3">
      <c r="A37" s="12">
        <v>44850</v>
      </c>
      <c r="B37" s="1">
        <v>4.79</v>
      </c>
      <c r="C37" s="3">
        <v>6.52</v>
      </c>
      <c r="D37" s="3">
        <v>3.39</v>
      </c>
      <c r="E37" s="2"/>
      <c r="R37" s="14"/>
      <c r="S37" s="11"/>
    </row>
    <row r="38" spans="1:19" ht="15" x14ac:dyDescent="0.3">
      <c r="A38" s="12">
        <v>44843</v>
      </c>
      <c r="B38" s="1">
        <v>4.8099999999999996</v>
      </c>
      <c r="C38" s="3">
        <v>6.56</v>
      </c>
      <c r="D38" s="3">
        <v>3.37</v>
      </c>
      <c r="E38" s="2"/>
      <c r="R38" s="11"/>
      <c r="S38" s="11"/>
    </row>
    <row r="39" spans="1:19" ht="15" x14ac:dyDescent="0.3">
      <c r="A39" s="12">
        <v>44836</v>
      </c>
      <c r="B39" s="1">
        <v>4.97</v>
      </c>
      <c r="C39" s="3">
        <v>6.84</v>
      </c>
      <c r="D39" s="3">
        <v>3.43</v>
      </c>
      <c r="E39" s="2"/>
      <c r="R39" s="11"/>
      <c r="S39" s="11"/>
    </row>
    <row r="40" spans="1:19" ht="15" x14ac:dyDescent="0.3">
      <c r="A40" s="12">
        <v>44829</v>
      </c>
      <c r="B40" s="1">
        <v>5.04</v>
      </c>
      <c r="C40" s="3">
        <v>6.88</v>
      </c>
      <c r="D40" s="3">
        <v>3.53</v>
      </c>
      <c r="E40" s="2"/>
      <c r="R40" s="11"/>
      <c r="S40" s="11"/>
    </row>
    <row r="41" spans="1:19" ht="15" x14ac:dyDescent="0.3">
      <c r="A41" s="12">
        <v>44815</v>
      </c>
      <c r="B41" s="1">
        <v>5.17</v>
      </c>
      <c r="C41" s="3">
        <v>6.9</v>
      </c>
      <c r="D41" s="3">
        <v>3.71</v>
      </c>
      <c r="E41" s="2"/>
      <c r="R41" s="11"/>
      <c r="S41" s="11"/>
    </row>
    <row r="42" spans="1:19" ht="15" x14ac:dyDescent="0.3">
      <c r="A42" s="12">
        <v>44808</v>
      </c>
      <c r="B42" s="1">
        <v>5.25</v>
      </c>
      <c r="C42" s="3">
        <v>6.93</v>
      </c>
      <c r="D42" s="3">
        <v>3.84</v>
      </c>
      <c r="E42" s="2"/>
      <c r="R42" s="11"/>
      <c r="S42" s="11"/>
    </row>
    <row r="43" spans="1:19" ht="15" x14ac:dyDescent="0.3">
      <c r="A43" s="12">
        <v>44801</v>
      </c>
      <c r="B43" s="1">
        <v>5.4</v>
      </c>
      <c r="C43" s="3">
        <v>7.05</v>
      </c>
      <c r="D43" s="3">
        <v>3.98</v>
      </c>
      <c r="E43" s="2"/>
      <c r="R43" s="11"/>
      <c r="S43" s="11"/>
    </row>
    <row r="44" spans="1:19" ht="15" x14ac:dyDescent="0.3">
      <c r="A44" s="12">
        <v>44794</v>
      </c>
      <c r="B44" s="1">
        <v>5.5</v>
      </c>
      <c r="C44" s="3">
        <v>7.22</v>
      </c>
      <c r="D44" s="3">
        <v>4.05</v>
      </c>
      <c r="E44" s="2"/>
      <c r="R44" s="11"/>
      <c r="S44" s="11"/>
    </row>
    <row r="45" spans="1:19" ht="15" x14ac:dyDescent="0.3">
      <c r="A45" s="12">
        <v>44787</v>
      </c>
      <c r="B45" s="1">
        <v>5.61</v>
      </c>
      <c r="C45" s="3">
        <v>7.38</v>
      </c>
      <c r="D45" s="3">
        <v>4.13</v>
      </c>
      <c r="E45" s="2"/>
      <c r="R45" s="11"/>
      <c r="S45" s="11"/>
    </row>
    <row r="46" spans="1:19" ht="15" x14ac:dyDescent="0.3">
      <c r="A46" s="12"/>
      <c r="D46" s="2"/>
      <c r="E46" s="2"/>
      <c r="R46" s="11"/>
      <c r="S46" s="11"/>
    </row>
    <row r="47" spans="1:19" ht="15" x14ac:dyDescent="0.3">
      <c r="A47" t="s">
        <v>11</v>
      </c>
      <c r="B47" s="4">
        <f>AVERAGE(B3:B45)</f>
        <v>5.1844186046511629</v>
      </c>
      <c r="C47" s="4">
        <f t="shared" ref="C47" si="3">AVERAGE(C3:C45)</f>
        <v>6.2625581395348853</v>
      </c>
      <c r="D47" s="3">
        <f>AVERAGE(D3:D45)</f>
        <v>3.8260465116279074</v>
      </c>
      <c r="E47" s="2"/>
      <c r="R47" s="11"/>
      <c r="S47" s="11"/>
    </row>
    <row r="48" spans="1:19" ht="15" x14ac:dyDescent="0.3">
      <c r="D48" s="2"/>
      <c r="E48" s="2"/>
      <c r="R48" s="11"/>
      <c r="S48" s="11"/>
    </row>
    <row r="49" spans="4:19" ht="15" x14ac:dyDescent="0.3">
      <c r="D49" s="2"/>
      <c r="E49" s="2"/>
      <c r="R49" s="11"/>
      <c r="S49" s="11"/>
    </row>
    <row r="50" spans="4:19" ht="15" x14ac:dyDescent="0.3">
      <c r="D50" s="2"/>
      <c r="E50" s="2"/>
      <c r="R50" s="11"/>
      <c r="S50" s="11"/>
    </row>
    <row r="51" spans="4:19" ht="15" x14ac:dyDescent="0.3">
      <c r="D51" s="2"/>
      <c r="E51" s="2"/>
      <c r="R51" s="11"/>
      <c r="S51" s="11"/>
    </row>
    <row r="52" spans="4:19" ht="15" x14ac:dyDescent="0.3">
      <c r="D52" s="2"/>
      <c r="E52" s="2"/>
      <c r="R52" s="11"/>
      <c r="S52" s="11"/>
    </row>
    <row r="53" spans="4:19" ht="15" x14ac:dyDescent="0.3">
      <c r="D53" s="2"/>
      <c r="E53" s="2"/>
      <c r="R53" s="11"/>
      <c r="S53" s="11"/>
    </row>
    <row r="54" spans="4:19" x14ac:dyDescent="0.3">
      <c r="R54" s="11"/>
      <c r="S54" s="11"/>
    </row>
    <row r="55" spans="4:19" x14ac:dyDescent="0.3">
      <c r="R55" s="11"/>
      <c r="S55" s="11"/>
    </row>
    <row r="56" spans="4:19" x14ac:dyDescent="0.3">
      <c r="R56" s="11"/>
      <c r="S56" s="11"/>
    </row>
    <row r="57" spans="4:19" x14ac:dyDescent="0.3">
      <c r="R57" s="11"/>
      <c r="S57" s="11"/>
    </row>
    <row r="58" spans="4:19" x14ac:dyDescent="0.3">
      <c r="R58" s="11"/>
      <c r="S58" s="11"/>
    </row>
    <row r="59" spans="4:19" x14ac:dyDescent="0.3">
      <c r="R59" s="11"/>
      <c r="S59" s="11"/>
    </row>
    <row r="60" spans="4:19" x14ac:dyDescent="0.3">
      <c r="R60" s="11"/>
      <c r="S60" s="11"/>
    </row>
    <row r="61" spans="4:19" x14ac:dyDescent="0.3">
      <c r="R61" s="11"/>
      <c r="S61" s="11"/>
    </row>
    <row r="62" spans="4:19" x14ac:dyDescent="0.3">
      <c r="R62" s="11"/>
      <c r="S62" s="11"/>
    </row>
    <row r="63" spans="4:19" x14ac:dyDescent="0.3">
      <c r="R63" s="11"/>
      <c r="S63" s="11"/>
    </row>
    <row r="64" spans="4:19" x14ac:dyDescent="0.3">
      <c r="R64" s="11"/>
      <c r="S64" s="11"/>
    </row>
    <row r="65" spans="18:19" x14ac:dyDescent="0.3">
      <c r="R65" s="11"/>
      <c r="S65" s="11"/>
    </row>
    <row r="66" spans="18:19" x14ac:dyDescent="0.3">
      <c r="R66" s="11"/>
      <c r="S66" s="11"/>
    </row>
    <row r="67" spans="18:19" x14ac:dyDescent="0.3">
      <c r="R67" s="11"/>
      <c r="S67" s="11"/>
    </row>
    <row r="68" spans="18:19" x14ac:dyDescent="0.3">
      <c r="R68" s="11"/>
      <c r="S68" s="11"/>
    </row>
    <row r="69" spans="18:19" x14ac:dyDescent="0.3">
      <c r="R69" s="11"/>
      <c r="S69" s="11"/>
    </row>
    <row r="70" spans="18:19" x14ac:dyDescent="0.3">
      <c r="R70" s="11"/>
      <c r="S70" s="11"/>
    </row>
  </sheetData>
  <sheetProtection algorithmName="SHA-512" hashValue="BYlUwsP8peuFQt6y+m3bEnygb96/J2lKAuzQRECDPURAW+Xve9qEFj6TRrrSdSGulzBitrpJLHbf1/rPXAjhaQ==" saltValue="kkpYS4L5hlaecBMJHGTreA==" spinCount="100000" sheet="1" objects="1" scenarios="1" selectLockedCells="1" selectUnlockedCells="1"/>
  <mergeCells count="1">
    <mergeCell ref="B1:D1"/>
  </mergeCells>
  <pageMargins left="0.511811024" right="0.511811024" top="0.78740157499999996" bottom="0.78740157499999996" header="0.31496062000000002" footer="0.31496062000000002"/>
  <drawing r:id="rId1"/>
</worksheet>
</file>

<file path=docMetadata/LabelInfo.xml><?xml version="1.0" encoding="utf-8"?>
<clbl:labelList xmlns:clbl="http://schemas.microsoft.com/office/2020/mipLabelMetadata">
  <clbl:label id="{3737367d-87d3-46ca-b00f-21b50c428b5e}" enabled="0" method="" siteId="{3737367d-87d3-46ca-b00f-21b50c428b5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TCO Estimado</vt:lpstr>
      <vt:lpstr>TCO Estimado por Veículo</vt:lpstr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Paulo Carneiro</dc:creator>
  <cp:lastModifiedBy>João Paulo Carneiro</cp:lastModifiedBy>
  <dcterms:created xsi:type="dcterms:W3CDTF">2015-06-05T18:19:34Z</dcterms:created>
  <dcterms:modified xsi:type="dcterms:W3CDTF">2023-08-25T14:46:44Z</dcterms:modified>
</cp:coreProperties>
</file>